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J15" i="3" l="1"/>
  <c r="J14" i="3"/>
  <c r="J13" i="3"/>
  <c r="L7" i="1" l="1"/>
  <c r="B21" i="1"/>
  <c r="L14" i="1"/>
  <c r="G20" i="6"/>
  <c r="N15" i="3"/>
  <c r="N14" i="3"/>
  <c r="L13" i="3"/>
  <c r="N13" i="3"/>
  <c r="A16" i="3" l="1"/>
  <c r="A14" i="3"/>
  <c r="A15" i="3"/>
  <c r="A13" i="3"/>
  <c r="N7" i="1" l="1"/>
  <c r="N14"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D3" i="4" l="1"/>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O22" i="71"/>
  <c r="C23" i="71" s="1"/>
  <c r="D23" i="71" s="1"/>
  <c r="N22" i="71"/>
  <c r="D22" i="71"/>
  <c r="Q21" i="71"/>
  <c r="P21" i="71"/>
  <c r="O21" i="7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D14" i="71"/>
  <c r="O13" i="71"/>
  <c r="C13" i="71" s="1"/>
  <c r="N13" i="71"/>
  <c r="X13" i="71" s="1"/>
  <c r="B15" i="71"/>
  <c r="B16" i="71" s="1"/>
  <c r="B19" i="71"/>
  <c r="B20" i="71" s="1"/>
  <c r="B23" i="71"/>
  <c r="B24" i="71" s="1"/>
  <c r="B25" i="71" s="1"/>
  <c r="S25" i="71" s="1"/>
  <c r="E23" i="71"/>
  <c r="N53" i="71"/>
  <c r="E19" i="71"/>
  <c r="X15" i="71"/>
  <c r="C19" i="71"/>
  <c r="AA19" i="71"/>
  <c r="AB22"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Q72" i="67"/>
  <c r="Q59" i="67"/>
  <c r="Q58" i="67"/>
  <c r="Q51" i="67"/>
  <c r="J50" i="67"/>
  <c r="M47" i="67"/>
  <c r="J53" i="67" s="1"/>
  <c r="Q52" i="67" s="1"/>
  <c r="D46" i="67"/>
  <c r="F33" i="67"/>
  <c r="F61" i="67" s="1"/>
  <c r="F23" i="67"/>
  <c r="D22"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G11" i="1" s="1"/>
  <c r="F12" i="1"/>
  <c r="F13" i="1"/>
  <c r="D6" i="1"/>
  <c r="D9" i="1"/>
  <c r="D10" i="1"/>
  <c r="D11" i="1"/>
  <c r="D12" i="1"/>
  <c r="D13" i="1"/>
  <c r="G13" i="1" s="1"/>
  <c r="D7" i="1"/>
  <c r="D8" i="1"/>
  <c r="A7" i="1"/>
  <c r="B7" i="1" s="1"/>
  <c r="E7" i="1" s="1"/>
  <c r="A8" i="1"/>
  <c r="B8" i="1" s="1"/>
  <c r="E8" i="1" s="1"/>
  <c r="A9" i="1"/>
  <c r="A10" i="1"/>
  <c r="A11" i="1"/>
  <c r="B11" i="1" s="1"/>
  <c r="A12" i="1"/>
  <c r="A13" i="1"/>
  <c r="B13" i="1" s="1"/>
  <c r="E13" i="1" s="1"/>
  <c r="A6" i="1"/>
  <c r="E11" i="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G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7" i="3"/>
  <c r="AC17" i="3"/>
  <c r="AD5" i="3"/>
  <c r="AH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C18" i="9" s="1"/>
  <c r="D18" i="9" s="1"/>
  <c r="I55" i="9"/>
  <c r="F55" i="9" s="1"/>
  <c r="O53" i="9" s="1"/>
  <c r="D89" i="9"/>
  <c r="C89" i="9" s="1"/>
  <c r="C87" i="9" s="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F19" i="6" s="1"/>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s="1"/>
  <c r="F25" i="34"/>
  <c r="S25" i="34" s="1"/>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J10" i="36"/>
  <c r="AC10" i="36" s="1"/>
  <c r="AB26" i="33"/>
  <c r="AB30" i="21"/>
  <c r="AA14" i="37"/>
  <c r="W31" i="34"/>
  <c r="AC13" i="36"/>
  <c r="W11" i="35"/>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BQ571" i="3"/>
  <c r="BL571" i="3" s="1"/>
  <c r="BQ569" i="3"/>
  <c r="BL569" i="3" s="1"/>
  <c r="BQ567" i="3"/>
  <c r="BL567" i="3" s="1"/>
  <c r="BQ565" i="3"/>
  <c r="BL565" i="3" s="1"/>
  <c r="BQ563" i="3"/>
  <c r="BL563" i="3" s="1"/>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s="1"/>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52" i="37" s="1"/>
  <c r="D52" i="37" s="1"/>
  <c r="E52" i="37" s="1"/>
  <c r="F52" i="37" s="1"/>
  <c r="G52" i="37" s="1"/>
  <c r="C7" i="34"/>
  <c r="C7" i="36"/>
  <c r="W35" i="40"/>
  <c r="A118" i="9"/>
  <c r="A4" i="52"/>
  <c r="B41" i="72" s="1"/>
  <c r="G4" i="4"/>
  <c r="I4" i="4"/>
  <c r="K5" i="4"/>
  <c r="B47" i="48" s="1"/>
  <c r="A2" i="9"/>
  <c r="N2" i="43"/>
  <c r="F59" i="43"/>
  <c r="BL549"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AZ160" i="3" s="1"/>
  <c r="G161" i="3"/>
  <c r="BA163" i="3"/>
  <c r="BL164" i="3"/>
  <c r="AZ164" i="3" s="1"/>
  <c r="G165" i="3"/>
  <c r="BA167" i="3"/>
  <c r="AZ167" i="3" s="1"/>
  <c r="BL168" i="3"/>
  <c r="G169" i="3"/>
  <c r="BA171" i="3"/>
  <c r="BL172" i="3"/>
  <c r="G173" i="3"/>
  <c r="BA175" i="3"/>
  <c r="BL176" i="3"/>
  <c r="G177" i="3"/>
  <c r="BA179" i="3"/>
  <c r="BL180" i="3"/>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BL204" i="3"/>
  <c r="AZ67" i="3"/>
  <c r="AZ71" i="3"/>
  <c r="AZ83" i="3"/>
  <c r="AZ85" i="3"/>
  <c r="AZ105" i="3"/>
  <c r="AZ120" i="3"/>
  <c r="AZ128" i="3"/>
  <c r="G516" i="3"/>
  <c r="G494"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90" i="3"/>
  <c r="AZ194"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BL331" i="3"/>
  <c r="G332" i="3"/>
  <c r="BA334" i="3"/>
  <c r="BL335" i="3"/>
  <c r="G336" i="3"/>
  <c r="BA338" i="3"/>
  <c r="BL339" i="3"/>
  <c r="G340" i="3"/>
  <c r="BL343" i="3"/>
  <c r="G344" i="3"/>
  <c r="G348" i="3"/>
  <c r="G355" i="3"/>
  <c r="AZ214"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s="1"/>
  <c r="BA379" i="3"/>
  <c r="AZ379" i="3" s="1"/>
  <c r="BL380" i="3"/>
  <c r="G381" i="3"/>
  <c r="BA383" i="3"/>
  <c r="AZ383" i="3" s="1"/>
  <c r="BL384" i="3"/>
  <c r="AZ384" i="3" s="1"/>
  <c r="G385" i="3"/>
  <c r="BA387" i="3"/>
  <c r="AZ387" i="3" s="1"/>
  <c r="BL388" i="3"/>
  <c r="G389" i="3"/>
  <c r="BA391" i="3"/>
  <c r="AZ391" i="3" s="1"/>
  <c r="BL392" i="3"/>
  <c r="G393" i="3"/>
  <c r="BJ5" i="3"/>
  <c r="AZ309" i="3"/>
  <c r="AZ341" i="3"/>
  <c r="G548" i="3"/>
  <c r="G520" i="3"/>
  <c r="BN5" i="3"/>
  <c r="G17" i="3"/>
  <c r="AZ360"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F48" i="9"/>
  <c r="O52" i="9" s="1"/>
  <c r="W37" i="37"/>
  <c r="W44" i="34"/>
  <c r="AC44" i="34"/>
  <c r="S15"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3" i="3"/>
  <c r="AZ117"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Z401" i="3"/>
  <c r="AZ412" i="3"/>
  <c r="AZ428" i="3"/>
  <c r="AC12" i="33"/>
  <c r="AA32" i="36"/>
  <c r="S32" i="36"/>
  <c r="AZ473" i="3"/>
  <c r="U30" i="33"/>
  <c r="AC13" i="34"/>
  <c r="AA47" i="34"/>
  <c r="F12" i="33"/>
  <c r="F39" i="40"/>
  <c r="AZ213"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s="1"/>
  <c r="AB17" i="37"/>
  <c r="F75" i="37"/>
  <c r="G75" i="37" s="1"/>
  <c r="F19" i="37"/>
  <c r="F79" i="37"/>
  <c r="F23" i="37"/>
  <c r="S23" i="37" s="1"/>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AB10" i="34" s="1"/>
  <c r="F11" i="34"/>
  <c r="S11" i="34" s="1"/>
  <c r="W42" i="33"/>
  <c r="S27" i="33"/>
  <c r="S32" i="33"/>
  <c r="AA29" i="33"/>
  <c r="AB29" i="33"/>
  <c r="W38" i="33"/>
  <c r="H41" i="33"/>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H27" i="33"/>
  <c r="F87" i="33"/>
  <c r="H25" i="33"/>
  <c r="F25" i="33"/>
  <c r="AA25" i="33" s="1"/>
  <c r="J23" i="33"/>
  <c r="F85" i="33"/>
  <c r="G85" i="33" s="1"/>
  <c r="H23" i="33"/>
  <c r="F81" i="33"/>
  <c r="F19" i="33"/>
  <c r="S19" i="33" s="1"/>
  <c r="J17" i="33"/>
  <c r="F79" i="33"/>
  <c r="G79" i="33" s="1"/>
  <c r="S15" i="33"/>
  <c r="W15"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F34" i="67"/>
  <c r="F62" i="67" s="1"/>
  <c r="M20" i="67"/>
  <c r="F34" i="15"/>
  <c r="F62" i="15" s="1"/>
  <c r="J56" i="9"/>
  <c r="J57" i="9" s="1"/>
  <c r="J59" i="9" s="1"/>
  <c r="J61" i="9" s="1"/>
  <c r="A24" i="51"/>
  <c r="B18" i="72" s="1"/>
  <c r="U29" i="34"/>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W31" i="39"/>
  <c r="AC31" i="39"/>
  <c r="AA45" i="39"/>
  <c r="AB39" i="39"/>
  <c r="W34"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W23" i="37" s="1"/>
  <c r="G79" i="37"/>
  <c r="J10" i="37"/>
  <c r="W10" i="37" s="1"/>
  <c r="H11" i="37"/>
  <c r="U11" i="37" s="1"/>
  <c r="U10" i="37"/>
  <c r="H11" i="34"/>
  <c r="U10" i="34"/>
  <c r="J10" i="34"/>
  <c r="AC10" i="34" s="1"/>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J23" i="21"/>
  <c r="W23" i="21" s="1"/>
  <c r="H23" i="21"/>
  <c r="AB23" i="21" s="1"/>
  <c r="D6" i="52"/>
  <c r="F46" i="36"/>
  <c r="G46" i="36" s="1"/>
  <c r="AP7" i="1"/>
  <c r="W9" i="21"/>
  <c r="AC9" i="21"/>
  <c r="E6" i="70"/>
  <c r="W19" i="37"/>
  <c r="AC23" i="37"/>
  <c r="AB11" i="37"/>
  <c r="J11" i="37"/>
  <c r="W11" i="37" s="1"/>
  <c r="AC10" i="37"/>
  <c r="W10" i="34"/>
  <c r="J11" i="34"/>
  <c r="W11" i="34" s="1"/>
  <c r="W36" i="33"/>
  <c r="U36" i="33"/>
  <c r="W27" i="33"/>
  <c r="AC27" i="33"/>
  <c r="S23" i="33"/>
  <c r="AB19" i="33"/>
  <c r="U19" i="33"/>
  <c r="AB17" i="33"/>
  <c r="AC11" i="37"/>
  <c r="AE6" i="1"/>
  <c r="AG6" i="1"/>
  <c r="H109" i="9"/>
  <c r="J7" i="33"/>
  <c r="W7" i="33" s="1"/>
  <c r="H7" i="33"/>
  <c r="AB7" i="33" s="1"/>
  <c r="T48" i="33" s="1"/>
  <c r="G48" i="33" s="1"/>
  <c r="H112" i="9"/>
  <c r="D21" i="53" s="1"/>
  <c r="B39" i="72" s="1"/>
  <c r="H111" i="9"/>
  <c r="D126" i="9" s="1"/>
  <c r="D59" i="9"/>
  <c r="M55" i="9" s="1"/>
  <c r="AD3" i="71"/>
  <c r="E9" i="76"/>
  <c r="E7" i="76"/>
  <c r="E8" i="76"/>
  <c r="AO11" i="1"/>
  <c r="B7" i="76"/>
  <c r="B13" i="76"/>
  <c r="AO6" i="1"/>
  <c r="E11" i="76"/>
  <c r="F7" i="73"/>
  <c r="F6" i="73"/>
  <c r="E2" i="68"/>
  <c r="AO12" i="1"/>
  <c r="F5" i="73"/>
  <c r="F4" i="73"/>
  <c r="B10" i="76"/>
  <c r="E12" i="76"/>
  <c r="E2" i="69"/>
  <c r="AO9" i="1"/>
  <c r="B11" i="76"/>
  <c r="D2" i="35"/>
  <c r="D2" i="33"/>
  <c r="AO10" i="1"/>
  <c r="D2" i="21"/>
  <c r="B8" i="76"/>
  <c r="B12" i="76"/>
  <c r="D2" i="34"/>
  <c r="E13" i="76"/>
  <c r="F20" i="31"/>
  <c r="E10" i="76"/>
  <c r="AO13" i="1"/>
  <c r="D2" i="37"/>
  <c r="B9" i="76"/>
  <c r="F3" i="73"/>
  <c r="D2" i="36"/>
  <c r="C5" i="11" l="1"/>
  <c r="F1" i="67"/>
  <c r="G1" i="15"/>
  <c r="K1" i="12"/>
  <c r="G1" i="67"/>
  <c r="G1" i="68"/>
  <c r="G13" i="3"/>
  <c r="BA17" i="3"/>
  <c r="BA14" i="3"/>
  <c r="AZ14" i="3" s="1"/>
  <c r="BA13" i="3"/>
  <c r="T10" i="1"/>
  <c r="BE5" i="3"/>
  <c r="BI5" i="3"/>
  <c r="BS5" i="3"/>
  <c r="U38" i="39"/>
  <c r="G6" i="1"/>
  <c r="G7" i="1"/>
  <c r="G10" i="1"/>
  <c r="G12" i="1"/>
  <c r="AC7" i="33"/>
  <c r="V48" i="33" s="1"/>
  <c r="I48" i="33" s="1"/>
  <c r="AC25" i="33"/>
  <c r="W25" i="33"/>
  <c r="AA17" i="33"/>
  <c r="S17" i="33"/>
  <c r="H110" i="9"/>
  <c r="D18" i="53" s="1"/>
  <c r="B35" i="72" s="1"/>
  <c r="D16" i="53"/>
  <c r="B34" i="72" s="1"/>
  <c r="AB11" i="34"/>
  <c r="U11" i="34"/>
  <c r="AB9" i="33"/>
  <c r="U9" i="33"/>
  <c r="AC26" i="33"/>
  <c r="W26" i="33"/>
  <c r="W27" i="34"/>
  <c r="AC27" i="34"/>
  <c r="BA587" i="3"/>
  <c r="BL561" i="3"/>
  <c r="BA560" i="3"/>
  <c r="BA559" i="3"/>
  <c r="BL558" i="3"/>
  <c r="BL554" i="3"/>
  <c r="BA548" i="3"/>
  <c r="BA547" i="3"/>
  <c r="BL544" i="3"/>
  <c r="BA540" i="3"/>
  <c r="BA539" i="3"/>
  <c r="BA532" i="3"/>
  <c r="AZ532" i="3" s="1"/>
  <c r="BA531" i="3"/>
  <c r="BL524" i="3"/>
  <c r="BA524" i="3"/>
  <c r="BA523" i="3"/>
  <c r="BL516" i="3"/>
  <c r="BA516" i="3"/>
  <c r="BL513" i="3"/>
  <c r="BA513" i="3"/>
  <c r="BA510" i="3"/>
  <c r="BA509" i="3"/>
  <c r="BA504" i="3"/>
  <c r="AZ504" i="3" s="1"/>
  <c r="BA503" i="3"/>
  <c r="BA498" i="3"/>
  <c r="AZ498" i="3" s="1"/>
  <c r="BT5" i="3"/>
  <c r="BA495" i="3"/>
  <c r="BO5" i="3"/>
  <c r="F29" i="6" s="1"/>
  <c r="BF5" i="3"/>
  <c r="BP5" i="3"/>
  <c r="G29" i="6" s="1"/>
  <c r="BK5" i="3"/>
  <c r="BG5" i="3"/>
  <c r="S22" i="31"/>
  <c r="R22" i="31" s="1"/>
  <c r="B21" i="31" s="1"/>
  <c r="C7" i="43"/>
  <c r="AZ372" i="3"/>
  <c r="AZ565" i="3"/>
  <c r="AZ573" i="3"/>
  <c r="AZ563" i="3"/>
  <c r="W29" i="33"/>
  <c r="AA13" i="35"/>
  <c r="F27" i="39"/>
  <c r="G582" i="3"/>
  <c r="G416" i="3"/>
  <c r="BL417" i="3"/>
  <c r="BA419" i="3"/>
  <c r="BL419" i="3"/>
  <c r="G420" i="3"/>
  <c r="BL421" i="3"/>
  <c r="BL423" i="3"/>
  <c r="G432" i="3"/>
  <c r="BL433" i="3"/>
  <c r="BA435" i="3"/>
  <c r="BL435" i="3"/>
  <c r="G436" i="3"/>
  <c r="BA437" i="3"/>
  <c r="G438" i="3"/>
  <c r="BA439" i="3"/>
  <c r="G440" i="3"/>
  <c r="BL441" i="3"/>
  <c r="G442" i="3"/>
  <c r="BA443" i="3"/>
  <c r="AZ443" i="3" s="1"/>
  <c r="BL445" i="3"/>
  <c r="G446" i="3"/>
  <c r="BL447" i="3"/>
  <c r="G448" i="3"/>
  <c r="BL449" i="3"/>
  <c r="BA451" i="3"/>
  <c r="BL451" i="3"/>
  <c r="G452" i="3"/>
  <c r="BL453" i="3"/>
  <c r="BL455" i="3"/>
  <c r="G458" i="3"/>
  <c r="G462" i="3"/>
  <c r="G464" i="3"/>
  <c r="BL465" i="3"/>
  <c r="G480" i="3"/>
  <c r="G482" i="3"/>
  <c r="BA483" i="3"/>
  <c r="G484" i="3"/>
  <c r="BA485" i="3"/>
  <c r="BL485" i="3"/>
  <c r="BA486" i="3"/>
  <c r="AZ486" i="3" s="1"/>
  <c r="BA487" i="3"/>
  <c r="AZ487" i="3" s="1"/>
  <c r="BL487" i="3"/>
  <c r="BA488" i="3"/>
  <c r="AZ488" i="3" s="1"/>
  <c r="BA490" i="3"/>
  <c r="BL490" i="3"/>
  <c r="BL492" i="3"/>
  <c r="G307" i="3"/>
  <c r="BL308" i="3"/>
  <c r="AZ308" i="3" s="1"/>
  <c r="G311" i="3"/>
  <c r="BL317" i="3"/>
  <c r="BA319" i="3"/>
  <c r="AZ319" i="3" s="1"/>
  <c r="BA323" i="3"/>
  <c r="AZ323" i="3" s="1"/>
  <c r="BA348" i="3"/>
  <c r="G349" i="3"/>
  <c r="BA350" i="3"/>
  <c r="AZ350" i="3" s="1"/>
  <c r="BL350" i="3"/>
  <c r="BA353" i="3"/>
  <c r="AZ353" i="3" s="1"/>
  <c r="G358" i="3"/>
  <c r="BL359" i="3"/>
  <c r="AZ359" i="3" s="1"/>
  <c r="BA366" i="3"/>
  <c r="AZ366" i="3" s="1"/>
  <c r="BL368" i="3"/>
  <c r="BA370" i="3"/>
  <c r="BA374" i="3"/>
  <c r="AZ374" i="3" s="1"/>
  <c r="G209" i="3"/>
  <c r="G227" i="3"/>
  <c r="G231" i="3"/>
  <c r="BL232" i="3"/>
  <c r="BL234" i="3"/>
  <c r="BA236" i="3"/>
  <c r="G237" i="3"/>
  <c r="BA238" i="3"/>
  <c r="G239" i="3"/>
  <c r="BL240" i="3"/>
  <c r="G241" i="3"/>
  <c r="BA242" i="3"/>
  <c r="BL242" i="3"/>
  <c r="BL244" i="3"/>
  <c r="G245" i="3"/>
  <c r="BA246" i="3"/>
  <c r="BL246" i="3"/>
  <c r="BA247" i="3"/>
  <c r="AZ247" i="3" s="1"/>
  <c r="BA248" i="3"/>
  <c r="AZ248" i="3" s="1"/>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BA286" i="3"/>
  <c r="G287" i="3"/>
  <c r="BA288" i="3"/>
  <c r="G289" i="3"/>
  <c r="BA290" i="3"/>
  <c r="BL290" i="3"/>
  <c r="BL292" i="3"/>
  <c r="G293" i="3"/>
  <c r="BL294" i="3"/>
  <c r="BL296" i="3"/>
  <c r="BA298" i="3"/>
  <c r="G299" i="3"/>
  <c r="BL300" i="3"/>
  <c r="G134" i="3"/>
  <c r="G136" i="3"/>
  <c r="BL137" i="3"/>
  <c r="G140" i="3"/>
  <c r="BL141" i="3"/>
  <c r="G144" i="3"/>
  <c r="BL145" i="3"/>
  <c r="G148" i="3"/>
  <c r="BA149" i="3"/>
  <c r="G150" i="3"/>
  <c r="BL151" i="3"/>
  <c r="AZ151" i="3" s="1"/>
  <c r="BA153" i="3"/>
  <c r="BL153" i="3"/>
  <c r="BL155" i="3"/>
  <c r="AZ155" i="3" s="1"/>
  <c r="G156" i="3"/>
  <c r="BA157" i="3"/>
  <c r="AZ157" i="3" s="1"/>
  <c r="BA158" i="3"/>
  <c r="AZ158" i="3" s="1"/>
  <c r="BL159" i="3"/>
  <c r="AZ159" i="3" s="1"/>
  <c r="BA161" i="3"/>
  <c r="AZ161" i="3" s="1"/>
  <c r="BA162" i="3"/>
  <c r="AZ162" i="3" s="1"/>
  <c r="BL163" i="3"/>
  <c r="AZ163" i="3" s="1"/>
  <c r="BA166" i="3"/>
  <c r="BL166" i="3"/>
  <c r="BA168" i="3"/>
  <c r="AZ168" i="3" s="1"/>
  <c r="BA170" i="3"/>
  <c r="G171" i="3"/>
  <c r="BL174" i="3"/>
  <c r="BA176" i="3"/>
  <c r="AZ176" i="3" s="1"/>
  <c r="BL178" i="3"/>
  <c r="BA180" i="3"/>
  <c r="AZ180" i="3" s="1"/>
  <c r="G183" i="3"/>
  <c r="I15" i="66"/>
  <c r="I20" i="66"/>
  <c r="C40" i="68"/>
  <c r="S21" i="33"/>
  <c r="BL195" i="3"/>
  <c r="AZ195" i="3" s="1"/>
  <c r="BA198" i="3"/>
  <c r="AZ198" i="3" s="1"/>
  <c r="BL198" i="3"/>
  <c r="BA200" i="3"/>
  <c r="AZ200" i="3" s="1"/>
  <c r="BA202" i="3"/>
  <c r="G203" i="3"/>
  <c r="G205" i="3"/>
  <c r="BL206" i="3"/>
  <c r="G207" i="3"/>
  <c r="G19" i="3"/>
  <c r="BL20" i="3"/>
  <c r="G21" i="3"/>
  <c r="BA22" i="3"/>
  <c r="BL22" i="3"/>
  <c r="G23" i="3"/>
  <c r="BL24" i="3"/>
  <c r="G25" i="3"/>
  <c r="BA26" i="3"/>
  <c r="G27" i="3"/>
  <c r="BL28" i="3"/>
  <c r="G29" i="3"/>
  <c r="BL30" i="3"/>
  <c r="BA31" i="3"/>
  <c r="AZ31" i="3" s="1"/>
  <c r="BA32" i="3"/>
  <c r="AZ32" i="3" s="1"/>
  <c r="BL32" i="3"/>
  <c r="BL34" i="3"/>
  <c r="G35" i="3"/>
  <c r="BA36" i="3"/>
  <c r="BL36" i="3"/>
  <c r="BL38" i="3"/>
  <c r="G39" i="3"/>
  <c r="BA40" i="3"/>
  <c r="BL40" i="3"/>
  <c r="BA42" i="3"/>
  <c r="AZ42" i="3" s="1"/>
  <c r="BL42" i="3"/>
  <c r="BL44" i="3"/>
  <c r="G45" i="3"/>
  <c r="BA46" i="3"/>
  <c r="BL46" i="3"/>
  <c r="BL48" i="3"/>
  <c r="G49" i="3"/>
  <c r="BA50" i="3"/>
  <c r="G51" i="3"/>
  <c r="BL52" i="3"/>
  <c r="BA54" i="3"/>
  <c r="G55" i="3"/>
  <c r="BL56" i="3"/>
  <c r="G59" i="3"/>
  <c r="G63" i="3"/>
  <c r="G77" i="3"/>
  <c r="G91" i="3"/>
  <c r="BA92" i="3"/>
  <c r="G93" i="3"/>
  <c r="BA94" i="3"/>
  <c r="G95" i="3"/>
  <c r="BA96" i="3"/>
  <c r="BL96" i="3"/>
  <c r="BL98" i="3"/>
  <c r="G99" i="3"/>
  <c r="P27" i="6"/>
  <c r="X14" i="71"/>
  <c r="Y21" i="71"/>
  <c r="Z21" i="71" s="1"/>
  <c r="AA21" i="71"/>
  <c r="AB10" i="43"/>
  <c r="AC38" i="37"/>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BL551" i="3"/>
  <c r="BA549" i="3"/>
  <c r="AZ549" i="3" s="1"/>
  <c r="BL546" i="3"/>
  <c r="BA546" i="3"/>
  <c r="BL545" i="3"/>
  <c r="BA545" i="3"/>
  <c r="BL542" i="3"/>
  <c r="BA542" i="3"/>
  <c r="BA541" i="3"/>
  <c r="BL540" i="3"/>
  <c r="AZ540" i="3" s="1"/>
  <c r="BL538" i="3"/>
  <c r="BA538" i="3"/>
  <c r="BA537" i="3"/>
  <c r="AZ537" i="3" s="1"/>
  <c r="BL536" i="3"/>
  <c r="AZ536" i="3" s="1"/>
  <c r="BA534" i="3"/>
  <c r="AZ534" i="3" s="1"/>
  <c r="BA533" i="3"/>
  <c r="AZ533" i="3" s="1"/>
  <c r="BL530" i="3"/>
  <c r="BA530" i="3"/>
  <c r="BL529" i="3"/>
  <c r="BA529" i="3"/>
  <c r="BL528" i="3"/>
  <c r="AZ528" i="3" s="1"/>
  <c r="BL526" i="3"/>
  <c r="BA526" i="3"/>
  <c r="BA525" i="3"/>
  <c r="BL522" i="3"/>
  <c r="BA522" i="3"/>
  <c r="BA521" i="3"/>
  <c r="BA519" i="3"/>
  <c r="BL518" i="3"/>
  <c r="BA518" i="3"/>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BL450" i="3"/>
  <c r="BA452" i="3"/>
  <c r="BL452" i="3"/>
  <c r="BA453" i="3"/>
  <c r="AZ453" i="3" s="1"/>
  <c r="BA454" i="3"/>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S12" i="21"/>
  <c r="AA12" i="21"/>
  <c r="F7" i="33"/>
  <c r="K120" i="9"/>
  <c r="A18" i="62" s="1"/>
  <c r="B64" i="72" s="1"/>
  <c r="S26" i="35"/>
  <c r="H72" i="43"/>
  <c r="H56" i="43"/>
  <c r="H55" i="43"/>
  <c r="C58" i="21"/>
  <c r="D58" i="21" s="1"/>
  <c r="E58" i="21" s="1"/>
  <c r="F58" i="21" s="1"/>
  <c r="G58" i="21" s="1"/>
  <c r="H58" i="21" s="1"/>
  <c r="I58" i="21" s="1"/>
  <c r="J58" i="21" s="1"/>
  <c r="K58" i="21" s="1"/>
  <c r="L58" i="21" s="1"/>
  <c r="M58" i="21" s="1"/>
  <c r="N58" i="21" s="1"/>
  <c r="O58" i="21" s="1"/>
  <c r="E7" i="21"/>
  <c r="F7" i="21" s="1"/>
  <c r="I7" i="21"/>
  <c r="G7" i="21"/>
  <c r="H71" i="43"/>
  <c r="H78" i="43"/>
  <c r="H53" i="4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P61" i="15"/>
  <c r="AB34" i="39"/>
  <c r="AA21" i="39"/>
  <c r="S32" i="39"/>
  <c r="S29" i="39"/>
  <c r="B55" i="43"/>
  <c r="C27" i="39"/>
  <c r="AB32" i="39"/>
  <c r="S31" i="39"/>
  <c r="W27" i="39"/>
  <c r="S23" i="39"/>
  <c r="AB21" i="39"/>
  <c r="S15" i="39"/>
  <c r="W42" i="39"/>
  <c r="U40" i="39"/>
  <c r="AC32" i="39"/>
  <c r="C15" i="39"/>
  <c r="C25" i="40"/>
  <c r="BL15" i="3"/>
  <c r="AZ15" i="3" s="1"/>
  <c r="AC29" i="21"/>
  <c r="W29" i="21"/>
  <c r="AB45" i="21"/>
  <c r="S13" i="21"/>
  <c r="AC12" i="39"/>
  <c r="W12" i="39"/>
  <c r="G14" i="3"/>
  <c r="AQ12" i="1"/>
  <c r="F54" i="9"/>
  <c r="M18" i="15"/>
  <c r="F30" i="69"/>
  <c r="F32" i="15"/>
  <c r="F60" i="15" s="1"/>
  <c r="F32" i="67"/>
  <c r="F60" i="67" s="1"/>
  <c r="D68" i="9"/>
  <c r="C24" i="12"/>
  <c r="F28" i="15"/>
  <c r="C28" i="15" s="1"/>
  <c r="M18" i="67"/>
  <c r="F31" i="12"/>
  <c r="F28" i="67"/>
  <c r="C28" i="67" s="1"/>
  <c r="F30" i="11"/>
  <c r="F30" i="68"/>
  <c r="C40" i="69"/>
  <c r="T12" i="1"/>
  <c r="A15" i="62"/>
  <c r="B61" i="72" s="1"/>
  <c r="D19" i="53"/>
  <c r="D63" i="40"/>
  <c r="C65" i="40"/>
  <c r="U7" i="33"/>
  <c r="H52" i="37"/>
  <c r="I52" i="37" s="1"/>
  <c r="J52" i="37" s="1"/>
  <c r="K52" i="37" s="1"/>
  <c r="L52" i="37" s="1"/>
  <c r="M52" i="37" s="1"/>
  <c r="N52" i="37" s="1"/>
  <c r="O52" i="37" s="1"/>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E6" i="71" s="1"/>
  <c r="E5"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B10" i="70"/>
  <c r="B13" i="70"/>
  <c r="B20" i="31"/>
  <c r="B11" i="70"/>
  <c r="I1" i="73"/>
  <c r="B39" i="1" s="1"/>
  <c r="B12" i="70"/>
  <c r="B9" i="70"/>
  <c r="K1" i="73"/>
  <c r="F31" i="15"/>
  <c r="F59" i="15"/>
  <c r="M17" i="67"/>
  <c r="M17" i="15"/>
  <c r="F59" i="67"/>
  <c r="F31" i="67"/>
  <c r="L47" i="15"/>
  <c r="M26" i="15"/>
  <c r="F37" i="67"/>
  <c r="F37" i="84"/>
  <c r="F26" i="84"/>
  <c r="M9" i="84"/>
  <c r="F37" i="15"/>
  <c r="J15" i="15"/>
  <c r="F9" i="84"/>
  <c r="F40" i="15"/>
  <c r="M9" i="15"/>
  <c r="M27" i="67"/>
  <c r="M23" i="84"/>
  <c r="F6" i="84"/>
  <c r="F38" i="15"/>
  <c r="L47" i="67"/>
  <c r="F6" i="15"/>
  <c r="M24" i="15"/>
  <c r="L48" i="84"/>
  <c r="M6" i="15"/>
  <c r="M22" i="15"/>
  <c r="F40" i="67"/>
  <c r="F40" i="84"/>
  <c r="C76" i="84"/>
  <c r="L48" i="67"/>
  <c r="M27" i="15"/>
  <c r="F13" i="67"/>
  <c r="M27" i="84"/>
  <c r="F16" i="15"/>
  <c r="M8" i="15"/>
  <c r="M22" i="67"/>
  <c r="F8" i="84"/>
  <c r="F13" i="84"/>
  <c r="F36" i="15"/>
  <c r="F16" i="84"/>
  <c r="F8" i="67"/>
  <c r="M24" i="67"/>
  <c r="F26" i="15"/>
  <c r="M26" i="67"/>
  <c r="M6" i="84"/>
  <c r="M26" i="84"/>
  <c r="M6" i="67"/>
  <c r="M23" i="15"/>
  <c r="F16" i="67"/>
  <c r="F8" i="15"/>
  <c r="F26" i="67"/>
  <c r="F36" i="84"/>
  <c r="M28" i="84"/>
  <c r="J15" i="67"/>
  <c r="F9" i="67"/>
  <c r="M28" i="15"/>
  <c r="M24" i="84"/>
  <c r="M28" i="67"/>
  <c r="F38" i="84"/>
  <c r="F9" i="15"/>
  <c r="C76" i="67"/>
  <c r="F42" i="84"/>
  <c r="F42" i="15"/>
  <c r="F38" i="67"/>
  <c r="M23" i="67"/>
  <c r="M8" i="84"/>
  <c r="M9" i="67"/>
  <c r="M22" i="84"/>
  <c r="C76" i="15"/>
  <c r="F6" i="67"/>
  <c r="L48" i="15"/>
  <c r="F42" i="67"/>
  <c r="M8" i="67"/>
  <c r="F13" i="15"/>
  <c r="F36" i="67"/>
  <c r="L47" i="84"/>
  <c r="J15" i="84"/>
  <c r="Q71" i="15" l="1"/>
  <c r="F64" i="15"/>
  <c r="J53" i="15"/>
  <c r="F1" i="15" s="1"/>
  <c r="J57" i="15"/>
  <c r="J55" i="15" s="1"/>
  <c r="J58" i="15" s="1"/>
  <c r="Q50" i="15" s="1"/>
  <c r="L56" i="15"/>
  <c r="I54" i="15"/>
  <c r="F66" i="15"/>
  <c r="C27" i="15"/>
  <c r="F65" i="15"/>
  <c r="F51" i="15"/>
  <c r="F68" i="15"/>
  <c r="L58" i="15"/>
  <c r="Q60" i="15" s="1"/>
  <c r="M59" i="15"/>
  <c r="L59" i="15" s="1"/>
  <c r="Q74" i="15" s="1"/>
  <c r="N59" i="15"/>
  <c r="Q71" i="67"/>
  <c r="C27" i="67"/>
  <c r="L59" i="67"/>
  <c r="Q61" i="67" s="1"/>
  <c r="M59" i="67"/>
  <c r="N59" i="67"/>
  <c r="F68" i="67"/>
  <c r="F65" i="67"/>
  <c r="F51" i="67"/>
  <c r="F70" i="67"/>
  <c r="F66" i="67"/>
  <c r="F64" i="67"/>
  <c r="AZ13" i="3"/>
  <c r="E29" i="6"/>
  <c r="J7" i="34"/>
  <c r="H7" i="37"/>
  <c r="AZ477" i="3"/>
  <c r="AZ459" i="3"/>
  <c r="AZ442" i="3"/>
  <c r="AZ51" i="3"/>
  <c r="AZ454" i="3"/>
  <c r="AZ434" i="3"/>
  <c r="AZ497" i="3"/>
  <c r="AZ518" i="3"/>
  <c r="AZ522" i="3"/>
  <c r="AZ530" i="3"/>
  <c r="AZ538" i="3"/>
  <c r="AZ542" i="3"/>
  <c r="AZ546" i="3"/>
  <c r="AZ552" i="3"/>
  <c r="S27" i="39"/>
  <c r="AA27" i="39"/>
  <c r="AZ182" i="3"/>
  <c r="AZ166" i="3"/>
  <c r="AZ266" i="3"/>
  <c r="AZ256" i="3"/>
  <c r="AZ490" i="3"/>
  <c r="I54" i="67"/>
  <c r="L56" i="67"/>
  <c r="J57" i="67"/>
  <c r="J55" i="67" s="1"/>
  <c r="J58" i="67" s="1"/>
  <c r="Q50" i="67" s="1"/>
  <c r="L58" i="67"/>
  <c r="Q73" i="67" s="1"/>
  <c r="G9" i="1"/>
  <c r="AZ58" i="3"/>
  <c r="O52" i="71"/>
  <c r="C51" i="71"/>
  <c r="D52" i="71"/>
  <c r="C71" i="71"/>
  <c r="D71" i="71" s="1"/>
  <c r="D72" i="71"/>
  <c r="AZ133" i="3"/>
  <c r="AZ287" i="3"/>
  <c r="AZ422" i="3"/>
  <c r="BR18" i="3"/>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AA7" i="36" s="1"/>
  <c r="R36" i="36" s="1"/>
  <c r="J7" i="36"/>
  <c r="AC7" i="36" s="1"/>
  <c r="V36" i="36" s="1"/>
  <c r="I36" i="36" s="1"/>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E20" i="6"/>
  <c r="K5" i="3"/>
  <c r="BC16" i="3"/>
  <c r="BC5" i="3" s="1"/>
  <c r="BB16" i="3"/>
  <c r="H16" i="3"/>
  <c r="I5" i="3"/>
  <c r="F64" i="84"/>
  <c r="F51" i="84"/>
  <c r="F66" i="84"/>
  <c r="Q71" i="84"/>
  <c r="F68" i="84"/>
  <c r="F65" i="84"/>
  <c r="L56" i="84"/>
  <c r="L57" i="84"/>
  <c r="L60" i="84"/>
  <c r="J53" i="84"/>
  <c r="Q52" i="84" s="1"/>
  <c r="C27" i="84"/>
  <c r="N59" i="84"/>
  <c r="L58" i="84"/>
  <c r="M59" i="84"/>
  <c r="L59" i="84" s="1"/>
  <c r="Q74" i="84" s="1"/>
  <c r="H7" i="36"/>
  <c r="AB7" i="36" s="1"/>
  <c r="T36" i="36" s="1"/>
  <c r="G36" i="36" s="1"/>
  <c r="J7" i="35"/>
  <c r="H7" i="35"/>
  <c r="H7" i="34"/>
  <c r="AB7" i="34" s="1"/>
  <c r="T49" i="34" s="1"/>
  <c r="G49" i="34" s="1"/>
  <c r="F7" i="37"/>
  <c r="AA7" i="37" s="1"/>
  <c r="R42" i="37" s="1"/>
  <c r="J7" i="37"/>
  <c r="B51" i="71"/>
  <c r="N52" i="71"/>
  <c r="P52" i="71"/>
  <c r="E51" i="71"/>
  <c r="C58" i="85"/>
  <c r="D58" i="85" s="1"/>
  <c r="E58" i="85" s="1"/>
  <c r="F58" i="85" s="1"/>
  <c r="G58" i="85" s="1"/>
  <c r="H58" i="85" s="1"/>
  <c r="I58" i="85" s="1"/>
  <c r="J58" i="85" s="1"/>
  <c r="K58" i="85" s="1"/>
  <c r="L58" i="85" s="1"/>
  <c r="M58" i="85" s="1"/>
  <c r="N58" i="85" s="1"/>
  <c r="O58" i="85" s="1"/>
  <c r="G7" i="85"/>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AZ23" i="3"/>
  <c r="F11" i="84"/>
  <c r="M11" i="84"/>
  <c r="AB19" i="21"/>
  <c r="U19" i="21"/>
  <c r="AA17" i="21"/>
  <c r="S17" i="21"/>
  <c r="U15" i="21"/>
  <c r="AB15" i="21"/>
  <c r="S15" i="21"/>
  <c r="AA15" i="21"/>
  <c r="I69" i="21"/>
  <c r="J69" i="21" s="1"/>
  <c r="K69" i="21" s="1"/>
  <c r="L69" i="21" s="1"/>
  <c r="M69" i="21" s="1"/>
  <c r="AC10" i="21"/>
  <c r="W10" i="21"/>
  <c r="S10" i="21"/>
  <c r="AB10" i="21"/>
  <c r="U10" i="21"/>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C7" i="35"/>
  <c r="V38" i="35" s="1"/>
  <c r="I38" i="35" s="1"/>
  <c r="W7" i="35"/>
  <c r="AB7" i="35"/>
  <c r="T38" i="35" s="1"/>
  <c r="G38" i="35" s="1"/>
  <c r="U7" i="35"/>
  <c r="U7" i="34"/>
  <c r="AC7" i="37"/>
  <c r="V42" i="37" s="1"/>
  <c r="I42" i="37" s="1"/>
  <c r="W7" i="37"/>
  <c r="S7" i="21"/>
  <c r="AA7" i="21"/>
  <c r="B8" i="71"/>
  <c r="B7" i="71" s="1"/>
  <c r="B6" i="71" s="1"/>
  <c r="B5" i="71" s="1"/>
  <c r="S9" i="71"/>
  <c r="D40" i="71"/>
  <c r="C41" i="71"/>
  <c r="AB34" i="35"/>
  <c r="U34" i="35"/>
  <c r="AB9" i="34"/>
  <c r="U9" i="34"/>
  <c r="K15" i="1"/>
  <c r="S7" i="36"/>
  <c r="H14" i="74"/>
  <c r="B7" i="74" s="1"/>
  <c r="D10" i="52"/>
  <c r="D125" i="9"/>
  <c r="D11" i="52" s="1"/>
  <c r="AA7" i="35"/>
  <c r="R38" i="35" s="1"/>
  <c r="S7" i="35"/>
  <c r="F7" i="34"/>
  <c r="U7" i="37"/>
  <c r="AB7" i="37"/>
  <c r="T42" i="37" s="1"/>
  <c r="G42" i="37" s="1"/>
  <c r="U7" i="21"/>
  <c r="AB7" i="21"/>
  <c r="P25" i="43"/>
  <c r="M11" i="15"/>
  <c r="F11" i="67"/>
  <c r="F11" i="15"/>
  <c r="M11" i="67"/>
  <c r="J10" i="67" s="1"/>
  <c r="Q61" i="15"/>
  <c r="D5" i="73"/>
  <c r="F7" i="84"/>
  <c r="D4" i="73"/>
  <c r="D7" i="73"/>
  <c r="D3" i="73"/>
  <c r="D6" i="73"/>
  <c r="Q74" i="67" l="1"/>
  <c r="Q73" i="15"/>
  <c r="Q52" i="15"/>
  <c r="AC18" i="3"/>
  <c r="U7" i="36"/>
  <c r="W7" i="36"/>
  <c r="S7" i="37"/>
  <c r="H7" i="85"/>
  <c r="U7" i="85" s="1"/>
  <c r="Q61" i="84"/>
  <c r="Q60" i="67"/>
  <c r="C6" i="84"/>
  <c r="F50" i="84"/>
  <c r="C49" i="84" s="1"/>
  <c r="M7" i="84"/>
  <c r="J6" i="84" s="1"/>
  <c r="J10" i="84" s="1"/>
  <c r="J5" i="84" s="1"/>
  <c r="E20" i="43"/>
  <c r="BD5" i="3"/>
  <c r="BA18" i="3"/>
  <c r="D51" i="71"/>
  <c r="O51" i="71"/>
  <c r="O50" i="71"/>
  <c r="D25" i="71"/>
  <c r="T25" i="71"/>
  <c r="BR5" i="3"/>
  <c r="G28" i="6" s="1"/>
  <c r="G30" i="6" s="1"/>
  <c r="BL18" i="3"/>
  <c r="AC16" i="3"/>
  <c r="AL5" i="3"/>
  <c r="I4" i="6" s="1"/>
  <c r="BQ16" i="3"/>
  <c r="D7" i="12"/>
  <c r="K7" i="1"/>
  <c r="E19" i="6"/>
  <c r="E32" i="6" s="1"/>
  <c r="L19" i="6" s="1"/>
  <c r="L27" i="6" s="1"/>
  <c r="BB5" i="3"/>
  <c r="E5" i="6" s="1"/>
  <c r="BA16" i="3"/>
  <c r="F1" i="84"/>
  <c r="R49" i="33"/>
  <c r="E48" i="33"/>
  <c r="AC7" i="85"/>
  <c r="W7" i="85"/>
  <c r="P51" i="71"/>
  <c r="P50" i="71"/>
  <c r="Q66" i="84"/>
  <c r="Q57" i="84"/>
  <c r="C17" i="71"/>
  <c r="D16" i="71"/>
  <c r="T45" i="71"/>
  <c r="D45" i="71"/>
  <c r="T29" i="71"/>
  <c r="D29" i="71"/>
  <c r="T21" i="71"/>
  <c r="D21" i="71"/>
  <c r="AA7" i="85"/>
  <c r="S7" i="85"/>
  <c r="N51" i="71"/>
  <c r="N50" i="71"/>
  <c r="Q60" i="84"/>
  <c r="Q73" i="84"/>
  <c r="L46" i="84"/>
  <c r="C53" i="84"/>
  <c r="C10" i="84"/>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AE8" i="1"/>
  <c r="G1" i="73"/>
  <c r="F41" i="15"/>
  <c r="F41" i="67"/>
  <c r="F7" i="15"/>
  <c r="AE7" i="1"/>
  <c r="F69" i="67" l="1"/>
  <c r="AC5" i="3"/>
  <c r="D9" i="11"/>
  <c r="C9" i="11" s="1"/>
  <c r="D19" i="12"/>
  <c r="C19" i="12" s="1"/>
  <c r="D9" i="69"/>
  <c r="C9" i="69" s="1"/>
  <c r="D9" i="68"/>
  <c r="C9" i="68" s="1"/>
  <c r="G16" i="3"/>
  <c r="AB7" i="85"/>
  <c r="J24" i="84"/>
  <c r="J26" i="84"/>
  <c r="C5" i="84"/>
  <c r="C33" i="84" s="1"/>
  <c r="J18" i="84"/>
  <c r="B40" i="1"/>
  <c r="C48" i="84"/>
  <c r="C66" i="84" s="1"/>
  <c r="AZ18" i="3"/>
  <c r="P17" i="43"/>
  <c r="N17" i="43"/>
  <c r="M17" i="43"/>
  <c r="O17" i="43"/>
  <c r="F50" i="15"/>
  <c r="C49" i="15" s="1"/>
  <c r="C48" i="15" s="1"/>
  <c r="C6" i="15"/>
  <c r="C10" i="15" s="1"/>
  <c r="C5" i="15" s="1"/>
  <c r="C38" i="15" s="1"/>
  <c r="M7" i="15"/>
  <c r="J6" i="15" s="1"/>
  <c r="J10" i="15" s="1"/>
  <c r="J5" i="15" s="1"/>
  <c r="G3" i="43"/>
  <c r="C11" i="39"/>
  <c r="C11" i="21"/>
  <c r="C11" i="85"/>
  <c r="E10" i="6"/>
  <c r="E11" i="6"/>
  <c r="E14" i="6"/>
  <c r="E15" i="6"/>
  <c r="E8" i="6"/>
  <c r="E13" i="6"/>
  <c r="E12" i="6"/>
  <c r="K6" i="1"/>
  <c r="C7" i="12"/>
  <c r="C8" i="12" s="1"/>
  <c r="D3" i="21"/>
  <c r="BA5" i="3"/>
  <c r="M7" i="1"/>
  <c r="BQ5" i="3"/>
  <c r="F28" i="6" s="1"/>
  <c r="BL16" i="3"/>
  <c r="BL5" i="3" s="1"/>
  <c r="T17" i="71"/>
  <c r="D17" i="71"/>
  <c r="C48" i="33"/>
  <c r="C49" i="33"/>
  <c r="E53" i="33"/>
  <c r="F53" i="33" s="1"/>
  <c r="I53" i="33"/>
  <c r="J53" i="33" s="1"/>
  <c r="E52" i="33"/>
  <c r="F52" i="33" s="1"/>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F41" i="84"/>
  <c r="M6" i="1" l="1"/>
  <c r="O6" i="1" s="1"/>
  <c r="P6" i="1" s="1"/>
  <c r="C13" i="12" s="1"/>
  <c r="AP6" i="1"/>
  <c r="C36" i="69" s="1"/>
  <c r="C60" i="15"/>
  <c r="C66" i="15"/>
  <c r="J29" i="84"/>
  <c r="F69" i="84"/>
  <c r="C60" i="84"/>
  <c r="C38" i="84"/>
  <c r="C32" i="84"/>
  <c r="F24" i="84"/>
  <c r="C24" i="84" s="1"/>
  <c r="F22" i="68"/>
  <c r="F22" i="69"/>
  <c r="F24" i="15"/>
  <c r="C24" i="15" s="1"/>
  <c r="F24" i="67"/>
  <c r="C24" i="67" s="1"/>
  <c r="F22" i="11"/>
  <c r="F25" i="12"/>
  <c r="C26" i="12" s="1"/>
  <c r="D25" i="12" s="1"/>
  <c r="C32" i="15"/>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C6" i="68" s="1"/>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G22" i="43"/>
  <c r="AF11" i="43"/>
  <c r="AF13" i="43" s="1"/>
  <c r="N101" i="43"/>
  <c r="F101" i="43"/>
  <c r="Y11" i="43"/>
  <c r="Y13" i="43" s="1"/>
  <c r="AB11" i="43"/>
  <c r="AB13" i="43" s="1"/>
  <c r="I101" i="43"/>
  <c r="G101" i="43"/>
  <c r="N104" i="46"/>
  <c r="M101" i="43"/>
  <c r="AI11" i="43"/>
  <c r="AI13" i="43" s="1"/>
  <c r="H101" i="43"/>
  <c r="Z11" i="43"/>
  <c r="Z13" i="43" s="1"/>
  <c r="E21" i="6"/>
  <c r="G27" i="6"/>
  <c r="G31" i="6" s="1"/>
  <c r="G5" i="3"/>
  <c r="C33" i="85" s="1"/>
  <c r="H63" i="40"/>
  <c r="G65" i="40"/>
  <c r="E54" i="34"/>
  <c r="F54" i="34" s="1"/>
  <c r="E53" i="34"/>
  <c r="F53" i="34" s="1"/>
  <c r="I54" i="34"/>
  <c r="J54" i="34" s="1"/>
  <c r="D6" i="71"/>
  <c r="C5" i="71"/>
  <c r="D5" i="71" s="1"/>
  <c r="C50" i="34"/>
  <c r="C49" i="34"/>
  <c r="G70" i="39"/>
  <c r="H68" i="39"/>
  <c r="C23" i="11" l="1"/>
  <c r="C44" i="11"/>
  <c r="D41" i="11" s="1"/>
  <c r="C26" i="11"/>
  <c r="D22" i="11" s="1"/>
  <c r="C26" i="68"/>
  <c r="D22" i="68" s="1"/>
  <c r="C44" i="68"/>
  <c r="D41" i="68" s="1"/>
  <c r="C44" i="69"/>
  <c r="D41" i="69" s="1"/>
  <c r="C26" i="69"/>
  <c r="D22" i="69" s="1"/>
  <c r="H103" i="43"/>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H33" i="85"/>
  <c r="J33" i="85"/>
  <c r="F33" i="85"/>
  <c r="B3" i="3"/>
  <c r="E194" i="3" s="1"/>
  <c r="C33" i="21"/>
  <c r="K8" i="1"/>
  <c r="E7" i="12"/>
  <c r="E27" i="6"/>
  <c r="I63" i="40"/>
  <c r="H65" i="40"/>
  <c r="C19" i="68"/>
  <c r="I68" i="39"/>
  <c r="H70" i="39"/>
  <c r="T14" i="43"/>
  <c r="V14" i="43" s="1"/>
  <c r="C33" i="43"/>
  <c r="F7" i="67"/>
  <c r="M29" i="84"/>
  <c r="M29" i="15"/>
  <c r="F43" i="15"/>
  <c r="M29" i="67"/>
  <c r="F43" i="67"/>
  <c r="F43" i="84"/>
  <c r="B14" i="74" l="1"/>
  <c r="B1" i="74" s="1"/>
  <c r="C23" i="43"/>
  <c r="C21" i="43" s="1"/>
  <c r="C29" i="43" s="1"/>
  <c r="E29" i="43" s="1"/>
  <c r="S5" i="43"/>
  <c r="T5" i="43" s="1"/>
  <c r="V5" i="43" s="1"/>
  <c r="S3" i="43"/>
  <c r="T3" i="43" s="1"/>
  <c r="V3" i="43" s="1"/>
  <c r="S2" i="43"/>
  <c r="T2" i="43" s="1"/>
  <c r="V2" i="43" s="1"/>
  <c r="S4" i="43"/>
  <c r="T4" i="43" s="1"/>
  <c r="V4" i="43" s="1"/>
  <c r="S6" i="43"/>
  <c r="T6" i="43" s="1"/>
  <c r="V6" i="43" s="1"/>
  <c r="S7" i="43"/>
  <c r="T7" i="43" s="1"/>
  <c r="V7" i="43" s="1"/>
  <c r="C38" i="43"/>
  <c r="T16" i="43"/>
  <c r="V16" i="43" s="1"/>
  <c r="C34" i="43"/>
  <c r="G34" i="43" s="1"/>
  <c r="I34" i="43" s="1"/>
  <c r="T8" i="43"/>
  <c r="V8" i="43" s="1"/>
  <c r="T13" i="43"/>
  <c r="V13" i="43" s="1"/>
  <c r="T10" i="43"/>
  <c r="V10" i="43" s="1"/>
  <c r="C39" i="43"/>
  <c r="C36" i="43"/>
  <c r="G36" i="43" s="1"/>
  <c r="I36" i="43" s="1"/>
  <c r="C35" i="43"/>
  <c r="E35" i="43" s="1"/>
  <c r="C37" i="43"/>
  <c r="E37" i="43" s="1"/>
  <c r="T15" i="43"/>
  <c r="V15" i="43" s="1"/>
  <c r="T9" i="43"/>
  <c r="V9" i="43" s="1"/>
  <c r="T12" i="43"/>
  <c r="V12" i="43" s="1"/>
  <c r="T11" i="43"/>
  <c r="V11" i="43" s="1"/>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J22" i="43" s="1"/>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B29" i="1" s="1"/>
  <c r="C8" i="68" s="1"/>
  <c r="AY103" i="3"/>
  <c r="K21" i="6"/>
  <c r="J63" i="40"/>
  <c r="I65" i="40"/>
  <c r="G38" i="43"/>
  <c r="I38" i="43" s="1"/>
  <c r="E38" i="43"/>
  <c r="E39" i="43"/>
  <c r="G39" i="43"/>
  <c r="I39" i="43" s="1"/>
  <c r="E33" i="43"/>
  <c r="G33" i="43"/>
  <c r="I33" i="43" s="1"/>
  <c r="I70" i="39"/>
  <c r="J68" i="39"/>
  <c r="C24" i="68"/>
  <c r="C16" i="15"/>
  <c r="C16" i="67"/>
  <c r="C16" i="84"/>
  <c r="G35" i="43" l="1"/>
  <c r="I35" i="43" s="1"/>
  <c r="AY537" i="3"/>
  <c r="D3" i="6"/>
  <c r="C18" i="4" s="1"/>
  <c r="AY37" i="3"/>
  <c r="AY99" i="3"/>
  <c r="AY375" i="3"/>
  <c r="E36" i="43"/>
  <c r="G37" i="43"/>
  <c r="I37" i="43" s="1"/>
  <c r="E34" i="43"/>
  <c r="C30" i="43"/>
  <c r="E30" i="43" s="1"/>
  <c r="C27" i="43" s="1"/>
  <c r="AY138" i="3"/>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D19" i="6"/>
  <c r="F27" i="69"/>
  <c r="F28" i="12"/>
  <c r="C29" i="12" s="1"/>
  <c r="D28" i="12" s="1"/>
  <c r="F27" i="11"/>
  <c r="F27" i="68"/>
  <c r="S6" i="1"/>
  <c r="K27" i="6"/>
  <c r="M19" i="6"/>
  <c r="K63" i="40"/>
  <c r="J65" i="40"/>
  <c r="K68" i="39"/>
  <c r="J70" i="39"/>
  <c r="C26" i="43"/>
  <c r="C14" i="67"/>
  <c r="E6" i="76"/>
  <c r="C17" i="15"/>
  <c r="C17" i="84"/>
  <c r="C17" i="67"/>
  <c r="D22" i="6" l="1"/>
  <c r="D26" i="6"/>
  <c r="H25" i="6"/>
  <c r="D21" i="6"/>
  <c r="H26" i="6"/>
  <c r="H23" i="6"/>
  <c r="D6" i="6"/>
  <c r="E61" i="40"/>
  <c r="D11" i="6"/>
  <c r="D29" i="6"/>
  <c r="D12" i="6"/>
  <c r="D9" i="6"/>
  <c r="D23" i="6"/>
  <c r="H24" i="6"/>
  <c r="D24" i="6"/>
  <c r="D13" i="6"/>
  <c r="M19" i="9"/>
  <c r="C118" i="9" s="1"/>
  <c r="L19" i="9"/>
  <c r="D15" i="6"/>
  <c r="D5" i="6"/>
  <c r="D10" i="6"/>
  <c r="D25" i="6"/>
  <c r="D8" i="6"/>
  <c r="D14" i="6"/>
  <c r="D20" i="6"/>
  <c r="D28" i="6"/>
  <c r="D30" i="6" s="1"/>
  <c r="H21" i="6"/>
  <c r="H20" i="6"/>
  <c r="H22" i="6"/>
  <c r="R22" i="6" s="1"/>
  <c r="R9" i="1" s="1"/>
  <c r="E6" i="3"/>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AR6" i="1"/>
  <c r="AQ6" i="1"/>
  <c r="T6" i="1"/>
  <c r="S16" i="1"/>
  <c r="C29" i="68"/>
  <c r="D27" i="68" s="1"/>
  <c r="C47" i="68"/>
  <c r="D45" i="68" s="1"/>
  <c r="AR8" i="1"/>
  <c r="T8" i="1"/>
  <c r="AQ8" i="1"/>
  <c r="T7" i="1"/>
  <c r="AR7" i="1"/>
  <c r="AQ7" i="1"/>
  <c r="N16" i="1"/>
  <c r="L16" i="1"/>
  <c r="AA10" i="40"/>
  <c r="S10" i="40"/>
  <c r="AA10" i="39"/>
  <c r="S10" i="39"/>
  <c r="AC10" i="39"/>
  <c r="W10" i="39"/>
  <c r="M27" i="6"/>
  <c r="I19" i="6"/>
  <c r="C29" i="11"/>
  <c r="D27" i="11" s="1"/>
  <c r="C47" i="11"/>
  <c r="D45" i="11" s="1"/>
  <c r="C28" i="11"/>
  <c r="C27" i="11" s="1"/>
  <c r="C47" i="69"/>
  <c r="D45" i="69" s="1"/>
  <c r="C29" i="69"/>
  <c r="D27" i="69" s="1"/>
  <c r="C4" i="52"/>
  <c r="B45" i="72" s="1"/>
  <c r="A7" i="51"/>
  <c r="B7" i="72" s="1"/>
  <c r="A10" i="51"/>
  <c r="B9" i="72" s="1"/>
  <c r="P8" i="1"/>
  <c r="P16" i="1" s="1"/>
  <c r="C11" i="12" s="1"/>
  <c r="O16" i="1"/>
  <c r="W10" i="40"/>
  <c r="AC10" i="40"/>
  <c r="AB10" i="39"/>
  <c r="U10" i="39"/>
  <c r="U10" i="40"/>
  <c r="AB10" i="40"/>
  <c r="L63" i="40"/>
  <c r="K65" i="40"/>
  <c r="E2" i="76"/>
  <c r="B2" i="43"/>
  <c r="K70" i="39"/>
  <c r="L68" i="39"/>
  <c r="C14" i="15"/>
  <c r="C14" i="84"/>
  <c r="B6" i="76"/>
  <c r="C14" i="74" l="1"/>
  <c r="B2" i="74" s="1"/>
  <c r="D8" i="74" s="1"/>
  <c r="R26" i="6"/>
  <c r="R24" i="6"/>
  <c r="R25" i="6"/>
  <c r="R21" i="6"/>
  <c r="R8" i="1" s="1"/>
  <c r="R23" i="6"/>
  <c r="D27" i="6"/>
  <c r="D31" i="6" s="1"/>
  <c r="D7" i="74"/>
  <c r="D16" i="6"/>
  <c r="R20" i="6"/>
  <c r="R7" i="1" s="1"/>
  <c r="C31" i="11"/>
  <c r="C39" i="69"/>
  <c r="C43" i="69" s="1"/>
  <c r="C42" i="69"/>
  <c r="C20" i="69"/>
  <c r="C25" i="69" s="1"/>
  <c r="C22" i="69" s="1"/>
  <c r="B3" i="85"/>
  <c r="B2" i="85"/>
  <c r="C18" i="84"/>
  <c r="C15" i="84"/>
  <c r="E52" i="21"/>
  <c r="F52" i="21" s="1"/>
  <c r="E53" i="21"/>
  <c r="F53" i="21" s="1"/>
  <c r="I53" i="21"/>
  <c r="J53" i="21" s="1"/>
  <c r="C48" i="21"/>
  <c r="C49" i="21"/>
  <c r="C19" i="67"/>
  <c r="C20" i="67" s="1"/>
  <c r="C26" i="67" s="1"/>
  <c r="C18" i="15"/>
  <c r="C15" i="15"/>
  <c r="T16" i="1"/>
  <c r="C15" i="12"/>
  <c r="C12" i="12"/>
  <c r="S19" i="6"/>
  <c r="S27" i="6" s="1"/>
  <c r="I27" i="6"/>
  <c r="H19" i="6"/>
  <c r="F11" i="12"/>
  <c r="F34" i="68"/>
  <c r="F34" i="11"/>
  <c r="M63" i="40"/>
  <c r="L65" i="40"/>
  <c r="B2" i="76"/>
  <c r="B3" i="76" s="1"/>
  <c r="M68" i="39"/>
  <c r="L70" i="39"/>
  <c r="B3" i="43"/>
  <c r="M21" i="15"/>
  <c r="F35" i="84"/>
  <c r="F35" i="67"/>
  <c r="F35" i="15"/>
  <c r="M21" i="67"/>
  <c r="M21" i="84"/>
  <c r="F63" i="67" l="1"/>
  <c r="C62" i="67" s="1"/>
  <c r="C34" i="67"/>
  <c r="J20" i="67"/>
  <c r="C34" i="84"/>
  <c r="C31" i="84" s="1"/>
  <c r="F63" i="84"/>
  <c r="C62" i="84" s="1"/>
  <c r="J20" i="84"/>
  <c r="C34" i="15"/>
  <c r="F63" i="15"/>
  <c r="C62" i="15" s="1"/>
  <c r="J20" i="15"/>
  <c r="C46" i="69"/>
  <c r="C45" i="69" s="1"/>
  <c r="C41" i="69"/>
  <c r="C28" i="69"/>
  <c r="C27" i="69" s="1"/>
  <c r="C31" i="69" s="1"/>
  <c r="C19" i="84"/>
  <c r="C20" i="84" s="1"/>
  <c r="B2" i="21"/>
  <c r="B3" i="21"/>
  <c r="C23" i="67"/>
  <c r="C29" i="67" s="1"/>
  <c r="J14" i="67" s="1"/>
  <c r="C19" i="15"/>
  <c r="C20" i="15" s="1"/>
  <c r="C26" i="15" s="1"/>
  <c r="C36" i="68"/>
  <c r="C34" i="68"/>
  <c r="C37" i="68"/>
  <c r="I6" i="6"/>
  <c r="I5" i="6"/>
  <c r="C36" i="11"/>
  <c r="C34" i="11"/>
  <c r="C37" i="11"/>
  <c r="C14" i="12"/>
  <c r="C16" i="12" s="1"/>
  <c r="C21" i="12" s="1"/>
  <c r="H27" i="6"/>
  <c r="R19" i="6"/>
  <c r="M65" i="40"/>
  <c r="N63" i="40"/>
  <c r="M70" i="39"/>
  <c r="N68" i="39"/>
  <c r="C49" i="69" l="1"/>
  <c r="C51" i="69" s="1"/>
  <c r="C52" i="69" s="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35" i="68"/>
  <c r="C38" i="68"/>
  <c r="N65" i="40"/>
  <c r="O63" i="40"/>
  <c r="O65" i="40" s="1"/>
  <c r="O68" i="39"/>
  <c r="O70" i="39" s="1"/>
  <c r="N70" i="39"/>
  <c r="C57" i="69" l="1"/>
  <c r="C56" i="69" s="1"/>
  <c r="C29" i="84"/>
  <c r="C57" i="84" s="1"/>
  <c r="C61" i="84" s="1"/>
  <c r="C59" i="84" s="1"/>
  <c r="C56" i="67"/>
  <c r="C65" i="67" s="1"/>
  <c r="Q70" i="67"/>
  <c r="C37" i="67"/>
  <c r="C30" i="67" s="1"/>
  <c r="C39" i="67" s="1"/>
  <c r="Q69" i="67" s="1"/>
  <c r="J16" i="67"/>
  <c r="J25" i="67" s="1"/>
  <c r="C64" i="67"/>
  <c r="J19" i="15"/>
  <c r="J17" i="15" s="1"/>
  <c r="C33" i="15"/>
  <c r="C31" i="15" s="1"/>
  <c r="C13" i="15"/>
  <c r="Q49" i="15"/>
  <c r="C36" i="15"/>
  <c r="J14" i="15"/>
  <c r="C57" i="15"/>
  <c r="C33" i="11"/>
  <c r="C39" i="11" s="1"/>
  <c r="C43" i="11" s="1"/>
  <c r="C33" i="68"/>
  <c r="C39" i="68" s="1"/>
  <c r="C43" i="68" s="1"/>
  <c r="F7" i="40"/>
  <c r="J7" i="40"/>
  <c r="H7" i="40"/>
  <c r="F7" i="39"/>
  <c r="H7" i="39"/>
  <c r="J7" i="39"/>
  <c r="L51" i="67"/>
  <c r="C58" i="67" l="1"/>
  <c r="C67" i="67" s="1"/>
  <c r="C68" i="67" s="1"/>
  <c r="C71" i="67" s="1"/>
  <c r="C64" i="84"/>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D2" i="67" s="1"/>
  <c r="B2" i="67" s="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J16" i="15"/>
  <c r="J25" i="15" s="1"/>
  <c r="Q57" i="67"/>
  <c r="C49" i="68"/>
  <c r="C51" i="68" s="1"/>
  <c r="L57" i="15"/>
  <c r="L60" i="15" s="1"/>
  <c r="Q67" i="15"/>
  <c r="C40" i="15"/>
  <c r="Q69" i="15"/>
  <c r="Q68" i="15" s="1"/>
  <c r="C58" i="15"/>
  <c r="C67" i="15" s="1"/>
  <c r="C68" i="15" s="1"/>
  <c r="C80" i="15"/>
  <c r="C79" i="15" s="1"/>
  <c r="C49" i="11"/>
  <c r="C51" i="11" s="1"/>
  <c r="C52" i="11" s="1"/>
  <c r="B2" i="11" s="1"/>
  <c r="B3" i="11" s="1"/>
  <c r="R43" i="40"/>
  <c r="E42" i="40"/>
  <c r="I47" i="40" s="1"/>
  <c r="J47" i="40" s="1"/>
  <c r="I46" i="40"/>
  <c r="J46" i="40" s="1"/>
  <c r="G46" i="40"/>
  <c r="H46" i="40" s="1"/>
  <c r="G47" i="40"/>
  <c r="H47" i="40" s="1"/>
  <c r="E47" i="39"/>
  <c r="I52" i="39" s="1"/>
  <c r="J52" i="39" s="1"/>
  <c r="R48" i="39"/>
  <c r="I51" i="39"/>
  <c r="J51" i="39" s="1"/>
  <c r="G51" i="39"/>
  <c r="H51" i="39" s="1"/>
  <c r="G52" i="39"/>
  <c r="H52" i="39" s="1"/>
  <c r="Q62" i="67" l="1"/>
  <c r="B3" i="67"/>
  <c r="Q69" i="84"/>
  <c r="Q68" i="84" s="1"/>
  <c r="C40" i="84"/>
  <c r="C46" i="15"/>
  <c r="C71" i="15"/>
  <c r="Q47" i="15"/>
  <c r="Q53" i="15" s="1"/>
  <c r="Q65" i="15"/>
  <c r="C43" i="15"/>
  <c r="Q56" i="15"/>
  <c r="C83" i="15"/>
  <c r="C82" i="15" s="1"/>
  <c r="L46" i="15"/>
  <c r="B2" i="15" s="1"/>
  <c r="Q57" i="15"/>
  <c r="Q66" i="15"/>
  <c r="C56" i="11"/>
  <c r="C57" i="11" s="1"/>
  <c r="E46" i="40"/>
  <c r="F46" i="40" s="1"/>
  <c r="E47" i="40"/>
  <c r="F47" i="40" s="1"/>
  <c r="C43" i="40"/>
  <c r="C42" i="40"/>
  <c r="C48" i="39"/>
  <c r="C47" i="39"/>
  <c r="E51" i="39"/>
  <c r="F51" i="39" s="1"/>
  <c r="E52" i="39"/>
  <c r="F52" i="39" s="1"/>
  <c r="L51" i="84"/>
  <c r="Q75" i="15" l="1"/>
  <c r="Q67" i="84"/>
  <c r="C46" i="84"/>
  <c r="Q65" i="84"/>
  <c r="Q75" i="84" s="1"/>
  <c r="B2" i="84"/>
  <c r="C83" i="84"/>
  <c r="C82" i="84" s="1"/>
  <c r="Q47" i="84"/>
  <c r="Q53" i="84" s="1"/>
  <c r="C43" i="84"/>
  <c r="Q56" i="84"/>
  <c r="Q62" i="84" s="1"/>
  <c r="B3" i="15"/>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AO7" i="1"/>
  <c r="B7" i="70" l="1"/>
  <c r="E8" i="12"/>
  <c r="M7" i="12" s="1"/>
  <c r="B8" i="70"/>
  <c r="B3" i="84"/>
  <c r="E6" i="12" s="1"/>
  <c r="F66" i="39"/>
  <c r="B2" i="39" s="1"/>
  <c r="C4" i="12" l="1"/>
  <c r="C23" i="12" s="1"/>
  <c r="C27" i="12" s="1"/>
  <c r="C25" i="12" s="1"/>
  <c r="B2" i="70"/>
  <c r="B3" i="70" s="1"/>
  <c r="B3" i="39"/>
  <c r="C7" i="68"/>
  <c r="C5" i="68" s="1"/>
  <c r="C30" i="12" l="1"/>
  <c r="C28" i="12" s="1"/>
  <c r="C31" i="12"/>
  <c r="C23" i="68"/>
  <c r="C20" i="68"/>
  <c r="C25" i="68" s="1"/>
  <c r="C32" i="12" l="1"/>
  <c r="B2" i="12" s="1"/>
  <c r="C28" i="68"/>
  <c r="C27" i="68" s="1"/>
  <c r="C22" i="68"/>
  <c r="D19" i="9"/>
  <c r="D21" i="9" l="1"/>
  <c r="D102" i="9"/>
  <c r="B3" i="12"/>
  <c r="C31" i="68"/>
  <c r="C52" i="68" s="1"/>
  <c r="B2" i="68" s="1"/>
  <c r="D20" i="9"/>
  <c r="C19" i="9"/>
  <c r="D103" i="9" l="1"/>
  <c r="B3" i="68"/>
  <c r="C102" i="9"/>
  <c r="G19" i="9"/>
  <c r="D27" i="9" s="1"/>
  <c r="C21" i="9"/>
  <c r="D22" i="9"/>
  <c r="C57" i="68"/>
  <c r="C56" i="68" s="1"/>
  <c r="D35" i="9"/>
  <c r="C20"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<sst xmlns="http://schemas.openxmlformats.org/spreadsheetml/2006/main" count="9088" uniqueCount="3375">
  <si>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</si>
  <si>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</si>
  <si>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</si>
  <si>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</si>
  <si>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</si>
  <si>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</si>
  <si>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</si>
  <si>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</si>
  <si>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</si>
  <si>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</si>
  <si>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</si>
  <si>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</si>
  <si>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</si>
  <si>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</si>
  <si>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</si>
  <si>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</si>
  <si>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</si>
  <si>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</si>
  <si>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</si>
  <si>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</si>
  <si>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</si>
  <si>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</si>
  <si>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</si>
  <si>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</si>
  <si>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</si>
  <si>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</si>
  <si>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</si>
  <si>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</si>
  <si>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</si>
  <si>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</si>
  <si>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</si>
  <si>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</si>
  <si>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</si>
  <si>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</si>
  <si>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</si>
  <si>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</si>
  <si>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</si>
  <si>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</si>
  <si>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</si>
  <si>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</si>
  <si>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</si>
  <si>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</si>
  <si>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</si>
  <si>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</si>
  <si>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</si>
  <si>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</si>
  <si>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</si>
  <si>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</si>
  <si>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</si>
  <si>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</si>
  <si>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</si>
  <si>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</si>
  <si>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</si>
  <si>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</si>
  <si>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</si>
  <si>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</si>
  <si>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</si>
  <si>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</si>
  <si>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</si>
  <si>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</si>
  <si>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</si>
  <si>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</si>
  <si>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</si>
  <si>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</si>
  <si>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</si>
  <si>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</si>
  <si>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</si>
  <si>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</si>
  <si>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</si>
  <si>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</si>
  <si>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</si>
  <si>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</si>
  <si>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</si>
  <si>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</si>
  <si>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</si>
  <si>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</si>
  <si>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</si>
  <si>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</si>
  <si>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</si>
  <si>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</si>
  <si>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</si>
  <si>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</si>
  <si>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</si>
  <si>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</si>
  <si>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</si>
  <si>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</si>
  <si>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</si>
  <si>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</si>
  <si>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</si>
  <si>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</si>
  <si>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</si>
  <si>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</si>
  <si>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</si>
  <si>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</si>
  <si>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</si>
  <si>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</si>
  <si>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</si>
  <si>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</si>
  <si>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</si>
  <si>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</si>
  <si>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</si>
  <si>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</si>
  <si>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</si>
  <si>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</si>
  <si>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</si>
  <si>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</si>
  <si>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</si>
  <si>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</si>
  <si>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</si>
  <si>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</si>
  <si>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</si>
  <si>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</si>
  <si>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</si>
  <si>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</si>
  <si>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</si>
  <si>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</si>
  <si>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</si>
  <si>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</si>
  <si>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</si>
  <si>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</si>
  <si>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</si>
  <si>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</si>
  <si>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</si>
  <si>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</si>
  <si>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</si>
  <si>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</si>
  <si>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</si>
  <si>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</si>
  <si>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</si>
  <si>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</si>
  <si>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</si>
  <si>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</si>
  <si>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</si>
  <si>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</si>
  <si>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</si>
  <si>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</si>
  <si>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</si>
  <si>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</si>
  <si>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</si>
  <si>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</si>
  <si>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</si>
  <si>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</si>
  <si>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</si>
  <si>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</si>
  <si>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</si>
  <si>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</si>
  <si>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</si>
  <si>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</si>
  <si>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</si>
  <si>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</si>
  <si>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</si>
  <si>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</si>
  <si>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</si>
  <si>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</si>
  <si>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</si>
  <si>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</si>
  <si>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</si>
  <si>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</si>
  <si>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</si>
  <si>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</si>
  <si>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</si>
  <si>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</si>
  <si>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</si>
  <si>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</si>
  <si>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</si>
  <si>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</si>
  <si>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</si>
  <si>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</si>
  <si>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</si>
  <si>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</si>
  <si>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</si>
  <si>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</si>
  <si>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</si>
  <si>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</si>
  <si>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</si>
  <si>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</si>
  <si>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</si>
  <si>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</si>
  <si>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</si>
  <si>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</si>
  <si>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</si>
  <si>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</si>
  <si>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</si>
  <si>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</si>
  <si>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</si>
  <si>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</si>
  <si>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</si>
  <si>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</si>
  <si>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</si>
  <si>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</si>
  <si>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</si>
  <si>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</si>
  <si>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</si>
  <si>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</si>
  <si>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</si>
  <si>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</si>
  <si>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</si>
  <si>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</si>
  <si>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</si>
  <si>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</si>
  <si>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</si>
  <si>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</si>
  <si>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</si>
  <si>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</si>
  <si>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</si>
  <si>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</si>
  <si>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</si>
  <si>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</si>
  <si>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</si>
  <si>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</si>
  <si>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</si>
  <si>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</si>
  <si>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</si>
  <si>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</si>
  <si>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</si>
  <si>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</si>
  <si>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</si>
  <si>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</si>
  <si>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</si>
  <si>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</si>
  <si>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</si>
  <si>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</si>
  <si>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</si>
  <si>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</si>
  <si>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</si>
  <si>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</si>
  <si>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</si>
  <si>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</si>
  <si>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</si>
  <si>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</si>
  <si>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</si>
  <si>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</si>
  <si>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</si>
  <si>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</si>
  <si>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</si>
  <si>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</si>
  <si>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</si>
  <si>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</si>
  <si>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</si>
  <si>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</si>
  <si>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</si>
  <si>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</si>
  <si>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</si>
  <si>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</si>
  <si>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</si>
  <si>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</si>
  <si>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</si>
  <si>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</si>
  <si>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</si>
  <si>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</si>
  <si>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</si>
  <si>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</si>
  <si>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</si>
  <si>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</si>
  <si>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</si>
  <si>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</si>
  <si>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</si>
  <si>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</si>
  <si>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</si>
  <si>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</si>
  <si>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</si>
  <si>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</si>
  <si>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</si>
  <si>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</si>
  <si>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</si>
  <si>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</si>
  <si>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</si>
  <si>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</si>
  <si>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</si>
  <si>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</si>
  <si>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</si>
  <si>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</si>
  <si>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</si>
  <si>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</si>
  <si>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</si>
  <si>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</si>
  <si>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</si>
  <si>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</si>
  <si>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</si>
  <si>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</si>
  <si>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</si>
  <si>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</si>
  <si>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</si>
  <si>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</si>
  <si>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</si>
  <si>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</si>
  <si>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</si>
  <si>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</si>
  <si>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</si>
  <si>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</si>
  <si>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</si>
  <si>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</si>
  <si>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</si>
  <si>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</si>
  <si>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</si>
  <si>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</si>
  <si>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</si>
  <si>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</si>
  <si>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</si>
  <si>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</si>
  <si>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</si>
  <si>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</si>
  <si>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</si>
  <si>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</si>
  <si>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</si>
  <si>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</si>
  <si>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</si>
  <si>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</si>
  <si>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</si>
  <si>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</si>
  <si>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</si>
  <si>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</si>
  <si>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</si>
  <si>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</si>
  <si>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</si>
  <si>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</si>
  <si>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</si>
  <si>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</si>
  <si>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</si>
  <si>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</si>
  <si>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</si>
  <si>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</si>
  <si>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</si>
  <si>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</si>
  <si>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</si>
  <si>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</si>
  <si>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</si>
  <si>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</si>
  <si>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</si>
  <si>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</si>
  <si>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</si>
  <si>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</si>
  <si>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</si>
  <si>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</si>
  <si>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</si>
  <si>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</si>
  <si>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</si>
  <si>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</si>
  <si>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</si>
  <si>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</si>
  <si>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</si>
  <si>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</si>
  <si>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</si>
  <si>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</si>
  <si>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</si>
  <si>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</si>
  <si>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</si>
  <si>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</si>
  <si>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</si>
  <si>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</si>
  <si>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</si>
  <si>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</si>
  <si>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</si>
  <si>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</si>
  <si>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</si>
  <si>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</si>
  <si>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</si>
  <si>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</si>
  <si>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</si>
  <si>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</si>
  <si>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</si>
  <si>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</si>
  <si>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</si>
  <si>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</si>
  <si>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</si>
  <si>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</si>
  <si>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</si>
  <si>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</si>
  <si>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</si>
  <si>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</si>
  <si>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</si>
  <si>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</si>
  <si>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</si>
  <si>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</si>
  <si>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</si>
  <si>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</si>
  <si>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</si>
  <si>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</si>
  <si>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</si>
  <si>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</si>
  <si>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</si>
  <si>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</si>
  <si>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</si>
  <si>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</si>
  <si>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</si>
  <si>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</si>
  <si>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</si>
  <si>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</si>
  <si>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</si>
  <si>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</si>
  <si>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</si>
  <si>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</si>
  <si>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</si>
  <si>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</si>
  <si>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</si>
  <si>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</si>
  <si>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</si>
  <si>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</si>
  <si>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</si>
  <si>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</si>
  <si>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</si>
  <si>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</si>
  <si>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</si>
  <si>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</si>
  <si>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</si>
  <si>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</si>
  <si>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</si>
  <si>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</si>
  <si>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</si>
  <si>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</si>
  <si>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</si>
  <si>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</si>
  <si>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</si>
  <si>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</si>
  <si>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</si>
  <si>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</si>
  <si>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</si>
  <si>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</si>
  <si>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</si>
  <si>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</si>
  <si>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</si>
  <si>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</si>
  <si>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</si>
  <si>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</si>
  <si>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</si>
  <si>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</si>
  <si>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</si>
  <si>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</si>
  <si>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</si>
  <si>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</si>
  <si>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</si>
  <si>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</si>
  <si>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</si>
  <si>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</si>
  <si>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</si>
  <si>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</si>
  <si>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</si>
  <si>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</si>
  <si>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</si>
  <si>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</si>
  <si>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</si>
  <si>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</si>
  <si>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</si>
  <si>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</si>
  <si>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</si>
  <si>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</si>
  <si>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</si>
  <si>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</si>
  <si>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</si>
  <si>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</si>
  <si>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</si>
  <si>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</si>
  <si>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</si>
  <si>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</si>
  <si>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</si>
  <si>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</si>
  <si>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</si>
  <si>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</si>
  <si>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</si>
  <si>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</si>
  <si>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</si>
  <si>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</si>
  <si>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</si>
  <si>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</si>
  <si>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</si>
  <si>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</si>
  <si>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</si>
  <si>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</si>
  <si>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</si>
  <si>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</si>
  <si>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</si>
  <si>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</si>
  <si>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</si>
  <si>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</si>
  <si>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</si>
  <si>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</si>
  <si>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</si>
  <si>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</si>
  <si>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</si>
  <si>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</si>
  <si>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</si>
  <si>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</si>
  <si>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</si>
  <si>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</si>
  <si>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</si>
  <si>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</si>
  <si>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</si>
  <si>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</si>
  <si>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</si>
  <si>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</si>
  <si>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</si>
  <si>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</si>
  <si>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</si>
  <si>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</si>
  <si>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</si>
  <si>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</si>
  <si>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</si>
  <si>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</si>
  <si>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</si>
  <si>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</si>
  <si>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</si>
  <si>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</si>
  <si>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</si>
  <si>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</si>
  <si>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</si>
  <si>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</si>
  <si>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</si>
  <si>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</si>
  <si>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</si>
  <si>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</si>
  <si>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</si>
  <si>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</si>
  <si>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</si>
  <si>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</si>
  <si>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</si>
  <si>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</si>
  <si>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</si>
  <si>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</si>
  <si>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</si>
  <si>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</si>
  <si>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</si>
  <si>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</si>
  <si>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</si>
  <si>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</si>
  <si>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</si>
  <si>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</si>
  <si>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</si>
  <si>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</si>
  <si>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</si>
  <si>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</si>
  <si>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</si>
  <si>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</si>
  <si>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</si>
  <si>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</si>
  <si>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</si>
  <si>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</si>
  <si>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</si>
  <si>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</si>
  <si>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</si>
  <si>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</si>
  <si>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</si>
  <si>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</si>
  <si>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</si>
  <si>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</si>
  <si>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</si>
  <si>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</si>
  <si>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</si>
  <si>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</si>
  <si>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</si>
  <si>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</si>
  <si>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</si>
  <si>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</si>
  <si>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</si>
  <si>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</si>
  <si>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</si>
  <si>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</si>
  <si>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</si>
  <si>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</si>
  <si>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</si>
  <si>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</si>
  <si>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</si>
  <si>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</si>
  <si>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</si>
  <si>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</si>
  <si>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</si>
  <si>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</si>
  <si>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</si>
  <si>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</si>
  <si>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</si>
  <si>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</si>
  <si>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</si>
  <si>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</si>
  <si>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</si>
  <si>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</si>
  <si>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</si>
  <si>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</si>
  <si>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</si>
  <si>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</si>
  <si>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</si>
  <si>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</si>
  <si>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</si>
  <si>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</si>
  <si>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</si>
  <si>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</si>
  <si>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</si>
  <si>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</si>
  <si>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</si>
  <si>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</si>
  <si>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</si>
  <si>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</si>
  <si>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</si>
  <si>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</si>
  <si>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</si>
  <si>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</si>
  <si>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</si>
  <si>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</si>
  <si>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</si>
  <si>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</si>
  <si>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</si>
  <si>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</si>
  <si>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</si>
  <si>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</si>
  <si>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</si>
  <si>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</si>
  <si>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</si>
  <si>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</si>
  <si>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</si>
  <si>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</si>
  <si>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</si>
  <si>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</si>
  <si>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</si>
  <si>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</si>
  <si>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</si>
  <si>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</si>
  <si>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</si>
  <si>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</si>
  <si>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</si>
  <si>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</si>
  <si>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</si>
  <si>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</si>
  <si>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</si>
  <si>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</si>
  <si>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</si>
  <si>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</si>
  <si>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</si>
  <si>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</si>
  <si>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</si>
  <si>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</si>
  <si>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</si>
  <si>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</si>
  <si>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</si>
  <si>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</si>
  <si>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</si>
  <si>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</si>
  <si>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</si>
  <si>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</si>
  <si>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</si>
  <si>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</si>
  <si>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</si>
  <si>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</si>
  <si>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</si>
  <si>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</si>
  <si>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</si>
  <si>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</si>
  <si>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</si>
  <si>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</si>
  <si>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</si>
  <si>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</si>
  <si>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</si>
  <si>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</si>
  <si>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</si>
  <si>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</si>
  <si>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</si>
  <si>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</si>
  <si>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</si>
  <si>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</si>
  <si>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</si>
  <si>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</si>
  <si>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</si>
  <si>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</si>
  <si>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</si>
  <si>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</si>
  <si>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</si>
  <si>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</si>
  <si>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</si>
  <si>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</si>
  <si>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</si>
  <si>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</si>
  <si>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</si>
  <si>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</si>
  <si>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</si>
  <si>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</si>
  <si>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</si>
  <si>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</si>
  <si>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</si>
  <si>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</si>
  <si>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</si>
  <si>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</si>
  <si>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</si>
  <si>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</si>
  <si>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</si>
  <si>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</si>
  <si>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</si>
  <si>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</si>
  <si>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</si>
  <si>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</si>
  <si>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</si>
  <si>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</si>
  <si>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</si>
  <si>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</si>
  <si>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</si>
  <si>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</si>
  <si>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</si>
  <si>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</si>
  <si>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</si>
  <si>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</si>
  <si>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</si>
  <si>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</si>
  <si>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</si>
  <si>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</si>
  <si>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</si>
  <si>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</si>
  <si>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</si>
  <si>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</si>
  <si>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</si>
  <si>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</si>
  <si>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</si>
  <si>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</si>
  <si>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</si>
  <si>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</si>
  <si>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</si>
  <si>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</si>
  <si>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</si>
  <si>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</si>
  <si>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</si>
  <si>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</si>
  <si>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</si>
  <si>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</si>
  <si>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</si>
  <si>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</si>
  <si>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</si>
  <si>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</si>
  <si>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</si>
  <si>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</si>
  <si>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</si>
  <si>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</si>
  <si>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</si>
  <si>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</si>
  <si>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</si>
  <si>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</si>
  <si>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</si>
  <si>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</si>
  <si>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</si>
  <si>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</si>
  <si>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</si>
  <si>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</si>
  <si>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</si>
  <si>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</si>
  <si>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</si>
  <si>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</si>
  <si>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</si>
  <si>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</si>
  <si>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</si>
  <si>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</si>
  <si>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</si>
  <si>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</si>
  <si>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</si>
  <si>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</si>
  <si>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</si>
  <si>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</si>
  <si>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</si>
  <si>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</si>
  <si>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</si>
  <si>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</si>
  <si>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</si>
  <si>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</si>
  <si>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</si>
  <si>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</si>
  <si>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</si>
  <si>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</si>
  <si>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</si>
  <si>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</si>
  <si>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</si>
  <si>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</si>
  <si>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</si>
  <si>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</si>
  <si>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</si>
  <si>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</si>
  <si>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</si>
  <si>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</si>
  <si>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</si>
  <si>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</si>
  <si>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</si>
  <si>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</si>
  <si>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</si>
  <si>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</si>
  <si>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</si>
  <si>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</si>
  <si>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</si>
  <si>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</si>
  <si>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</si>
  <si>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</si>
  <si>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</si>
  <si>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</si>
  <si>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</si>
  <si>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</si>
  <si>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</si>
  <si>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</si>
  <si>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</si>
  <si>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</si>
  <si>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</si>
  <si>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</si>
  <si>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</si>
  <si>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</si>
  <si>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</si>
  <si>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</si>
  <si>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</si>
  <si>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</si>
  <si>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</si>
  <si>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</si>
  <si>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</si>
  <si>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</si>
  <si>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</si>
  <si>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</si>
  <si>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</si>
  <si>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</si>
  <si>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</si>
  <si>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</si>
  <si>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</si>
  <si>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</si>
  <si>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</si>
  <si>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</si>
  <si>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</si>
  <si>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</si>
  <si>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</si>
  <si>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</si>
  <si>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</si>
  <si>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</si>
  <si>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</si>
  <si>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</si>
  <si>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</si>
  <si>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</si>
  <si>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</si>
  <si>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</si>
  <si>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</si>
  <si>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</si>
  <si>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</si>
  <si>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</si>
  <si>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</si>
  <si>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</si>
  <si>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</si>
  <si>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</si>
  <si>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</si>
  <si>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</si>
  <si>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</si>
  <si>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</si>
  <si>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</si>
  <si>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</si>
  <si>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</si>
  <si>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</si>
  <si>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</si>
  <si>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</si>
  <si>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</si>
  <si>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</si>
  <si>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</si>
  <si>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</si>
  <si>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</si>
  <si>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</si>
  <si>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</si>
  <si>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</si>
  <si>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</si>
  <si>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</si>
  <si>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</si>
  <si>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</si>
  <si>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</si>
  <si>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</si>
  <si>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</si>
  <si>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</si>
  <si>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</si>
  <si>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</si>
  <si>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</si>
  <si>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</si>
  <si>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</si>
  <si>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</si>
  <si>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</si>
  <si>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</si>
  <si>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</si>
  <si>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</si>
  <si>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</si>
  <si>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</si>
  <si>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</si>
  <si>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</si>
  <si>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</si>
  <si>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</si>
  <si>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</si>
  <si>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</si>
  <si>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</si>
  <si>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</si>
  <si>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</si>
  <si>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</si>
  <si>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</si>
  <si>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</si>
  <si>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</si>
  <si>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</si>
  <si>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</si>
  <si>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</si>
  <si>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</si>
  <si>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</si>
  <si>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</si>
  <si>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</si>
  <si>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</si>
  <si>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</si>
  <si>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</si>
  <si>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</si>
  <si>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</si>
  <si>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</si>
  <si>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</si>
  <si>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</si>
  <si>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</si>
  <si>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</si>
  <si>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</si>
  <si>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</si>
  <si>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</si>
  <si>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</si>
  <si>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</si>
  <si>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</si>
  <si>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</si>
  <si>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</si>
  <si>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</si>
  <si>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</si>
  <si>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</si>
  <si>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</si>
  <si>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</si>
  <si>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</si>
  <si>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</si>
  <si>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</si>
  <si>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</si>
  <si>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</si>
  <si>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</si>
  <si>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</si>
  <si>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</si>
  <si>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</si>
  <si>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</si>
  <si>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</si>
  <si>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</si>
  <si>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</si>
  <si>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</si>
  <si>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</si>
  <si>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</si>
  <si>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</si>
  <si>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</si>
  <si>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</si>
  <si>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</si>
  <si>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</si>
  <si>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</si>
  <si>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</si>
  <si>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</si>
  <si>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</si>
  <si>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</si>
  <si>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</si>
  <si>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</si>
  <si>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</si>
  <si>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</si>
  <si>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</si>
  <si>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</si>
  <si>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</si>
  <si>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</si>
  <si>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</si>
  <si>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</si>
  <si>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</si>
  <si>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</si>
  <si>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</si>
  <si>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</si>
  <si>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</si>
  <si>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</si>
  <si>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</si>
  <si>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</si>
  <si>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</si>
  <si>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</si>
  <si>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</si>
  <si>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</si>
  <si>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</si>
  <si>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</si>
  <si>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</si>
  <si>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</si>
  <si>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</si>
  <si>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</si>
  <si>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</si>
  <si>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</si>
  <si>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</si>
  <si>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</si>
  <si>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</si>
  <si>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</si>
  <si>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</si>
  <si>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</si>
  <si>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</si>
  <si>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</si>
  <si>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</si>
  <si>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</si>
  <si>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</si>
  <si>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</si>
  <si>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</si>
  <si>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</si>
  <si>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</si>
  <si>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</si>
  <si>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</si>
  <si>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</si>
  <si>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</si>
  <si>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</si>
  <si>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</si>
  <si>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</si>
  <si>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</si>
  <si>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</si>
  <si>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</si>
  <si>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</si>
  <si>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</si>
  <si>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</si>
  <si>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</si>
  <si>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</si>
  <si>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</si>
  <si>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</si>
  <si>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</si>
  <si>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</si>
  <si>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</si>
  <si>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</si>
  <si>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</si>
  <si>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</si>
  <si>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</si>
  <si>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</si>
  <si>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</si>
  <si>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</si>
  <si>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</si>
  <si>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</si>
  <si>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</si>
  <si>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</si>
  <si>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</si>
  <si>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</si>
  <si>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</si>
  <si>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</si>
  <si>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</si>
  <si>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</si>
  <si>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</si>
  <si>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</si>
  <si>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</si>
  <si>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</si>
  <si>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</si>
  <si>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</si>
  <si>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</si>
  <si>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</si>
  <si>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</si>
  <si>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</si>
  <si>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</si>
  <si>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</si>
  <si>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</si>
  <si>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</si>
  <si>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</si>
  <si>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</si>
  <si>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</si>
  <si>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</si>
  <si>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</si>
  <si>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</si>
  <si>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</si>
  <si>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</si>
  <si>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</si>
  <si>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</si>
  <si>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</si>
  <si>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</si>
  <si>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</si>
  <si>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</si>
  <si>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</si>
  <si>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</si>
  <si>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</si>
  <si>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</si>
  <si>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</si>
  <si>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</si>
  <si>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</si>
  <si>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</si>
  <si>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</si>
  <si>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</si>
  <si>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</si>
  <si>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</si>
  <si>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</si>
  <si>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</si>
  <si>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</si>
  <si>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</si>
  <si>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</si>
  <si>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</si>
  <si>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</si>
  <si>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</si>
  <si>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</si>
  <si>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</si>
  <si>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</si>
  <si>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</si>
  <si>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</si>
  <si>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</si>
  <si>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</si>
  <si>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</si>
  <si>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</si>
  <si>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</si>
  <si>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</si>
  <si>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</si>
  <si>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</si>
  <si>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</si>
  <si>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</si>
  <si>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</si>
  <si>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</si>
  <si>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</si>
  <si>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</si>
  <si>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</si>
  <si>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</si>
  <si>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</si>
  <si>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</si>
  <si>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</si>
  <si>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</si>
  <si>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</si>
  <si>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</si>
  <si>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</si>
  <si>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</si>
  <si>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</si>
  <si>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</si>
  <si>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</si>
  <si>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</si>
  <si>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</si>
  <si>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</si>
  <si>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</si>
  <si>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</si>
  <si>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</si>
  <si>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</si>
  <si>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</si>
  <si>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</si>
  <si>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</si>
  <si>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</si>
  <si>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</si>
  <si>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</si>
  <si>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</si>
  <si>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</si>
  <si>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</si>
  <si>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</si>
  <si>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</si>
  <si>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</si>
  <si>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</si>
  <si>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</si>
  <si>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</si>
  <si>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</si>
  <si>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</si>
  <si>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</si>
  <si>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</si>
  <si>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</si>
  <si>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</si>
  <si>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</si>
  <si>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</si>
  <si>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</si>
  <si>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</si>
  <si>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</si>
  <si>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</si>
  <si>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</si>
  <si>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</si>
  <si>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</si>
  <si>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</si>
  <si>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</si>
  <si>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</si>
  <si>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</si>
  <si>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</si>
  <si>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</si>
  <si>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</si>
  <si>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</si>
  <si>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</si>
  <si>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</si>
  <si>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</si>
  <si>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</si>
  <si>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</si>
  <si>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</si>
  <si>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</si>
  <si>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</si>
  <si>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</si>
  <si>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</si>
  <si>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</si>
  <si>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</si>
  <si>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</si>
  <si>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</si>
  <si>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</si>
  <si>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</si>
  <si>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</si>
  <si>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</si>
  <si>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</si>
  <si>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</si>
  <si>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</si>
  <si>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</si>
  <si>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</si>
  <si>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</si>
  <si>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</si>
  <si>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</si>
  <si>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</si>
  <si>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</si>
  <si>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</si>
  <si>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</si>
  <si>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</si>
  <si>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</si>
  <si>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</si>
  <si>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</si>
  <si>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</si>
  <si>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</si>
  <si>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</si>
  <si>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</si>
  <si>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</si>
  <si>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</si>
  <si>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</si>
  <si>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</si>
  <si>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</si>
  <si>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</si>
  <si>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</si>
  <si>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</si>
  <si>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</si>
  <si>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</si>
  <si>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</si>
  <si>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</si>
  <si>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</si>
  <si>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</si>
  <si>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</si>
  <si>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</si>
  <si>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</si>
  <si>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</si>
  <si>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</si>
  <si>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</si>
  <si>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</si>
  <si>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</si>
  <si>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</si>
  <si>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</si>
  <si>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</si>
  <si>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</si>
  <si>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</si>
  <si>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</si>
  <si>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</si>
  <si>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</si>
  <si>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</si>
  <si>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</si>
  <si>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</si>
  <si>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</si>
  <si>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</si>
  <si>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</si>
  <si>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</si>
  <si>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</si>
  <si>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</si>
  <si>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</si>
  <si>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</si>
  <si>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</si>
  <si>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</si>
  <si>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</si>
  <si>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</si>
  <si>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</si>
  <si>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</si>
  <si>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</si>
  <si>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</si>
  <si>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</si>
  <si>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</si>
  <si>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</si>
  <si>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</si>
  <si>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</si>
  <si>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</si>
  <si>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</si>
  <si>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</si>
  <si>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</si>
  <si>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</si>
  <si>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</si>
  <si>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</si>
  <si>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</si>
  <si>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</si>
  <si>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</si>
  <si>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</si>
  <si>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</si>
  <si>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</si>
  <si>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</si>
  <si>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</si>
  <si>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</si>
  <si>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</si>
  <si>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</si>
  <si>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</si>
  <si>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</si>
  <si>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</si>
  <si>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</si>
  <si>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</si>
  <si>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</si>
  <si>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</si>
  <si>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</si>
  <si>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</si>
  <si>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</si>
  <si>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</si>
  <si>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</si>
  <si>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</si>
  <si>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</si>
  <si>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</si>
  <si>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</si>
  <si>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</si>
  <si>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</si>
  <si>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</si>
  <si>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</si>
  <si>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</si>
  <si>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</si>
  <si>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</si>
  <si>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</si>
  <si>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</si>
  <si>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</si>
  <si>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</si>
  <si>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</si>
  <si>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</si>
  <si>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</si>
  <si>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</si>
  <si>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</si>
  <si>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</si>
  <si>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</si>
  <si>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</si>
  <si>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</si>
  <si>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</si>
  <si>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</si>
  <si>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</si>
  <si>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</si>
  <si>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</si>
  <si>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</si>
  <si>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</si>
  <si>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</si>
  <si>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</si>
  <si>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</si>
  <si>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</si>
  <si>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</si>
  <si>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</si>
  <si>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</si>
  <si>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</si>
  <si>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</si>
  <si>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</si>
  <si>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</si>
  <si>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</si>
  <si>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</si>
  <si>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</si>
  <si>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</si>
  <si>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</si>
  <si>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</si>
  <si>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</si>
  <si>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</si>
  <si>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</si>
  <si>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</si>
  <si>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</si>
  <si>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</si>
  <si>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</si>
  <si>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</si>
  <si>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</si>
  <si>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</si>
  <si>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</si>
  <si>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</si>
  <si>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</si>
  <si>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</si>
  <si>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</si>
  <si>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</si>
  <si>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</si>
  <si>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</si>
  <si>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</si>
  <si>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</si>
  <si>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</si>
  <si>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</si>
  <si>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</si>
  <si>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</si>
  <si>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</si>
  <si>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</si>
  <si>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</si>
  <si>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</si>
  <si>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</si>
  <si>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</si>
  <si>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</si>
  <si>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</si>
  <si>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</si>
  <si>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</si>
  <si>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</si>
  <si>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</si>
  <si>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</si>
  <si>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</si>
  <si>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</si>
  <si>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</si>
  <si>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</si>
  <si>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</si>
  <si>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</si>
  <si>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</si>
  <si>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</si>
  <si>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</si>
  <si>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</si>
  <si>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</si>
  <si>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</si>
  <si>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</si>
  <si>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</si>
  <si>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</si>
  <si>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</si>
  <si>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</si>
  <si>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</si>
  <si>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</si>
  <si>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</si>
  <si>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</si>
  <si>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</si>
  <si>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</si>
  <si>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</si>
  <si>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</si>
  <si>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</si>
  <si>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</si>
  <si>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</si>
  <si>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</si>
  <si>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</si>
  <si>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</si>
  <si>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</si>
  <si>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</si>
  <si>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</si>
  <si>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</si>
  <si>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</si>
  <si>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</si>
  <si>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</si>
  <si>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</si>
  <si>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</si>
  <si>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</si>
  <si>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</si>
  <si>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</si>
  <si>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</si>
  <si>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</si>
  <si>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</si>
  <si>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</si>
  <si>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</si>
  <si>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</si>
  <si>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</si>
  <si>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</si>
  <si>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</si>
  <si>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</si>
  <si>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</si>
  <si>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</si>
  <si>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</si>
  <si>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</si>
  <si>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</si>
  <si>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</si>
  <si>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</si>
  <si>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</si>
  <si>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</si>
  <si>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</si>
  <si>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</si>
  <si>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</si>
  <si>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</si>
  <si>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</si>
  <si>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</si>
  <si>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</si>
  <si>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</si>
  <si>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</si>
  <si>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</si>
  <si>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</si>
  <si>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</si>
  <si>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</si>
  <si>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</si>
  <si>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</si>
  <si>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</si>
  <si>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</si>
  <si>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</si>
  <si>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</si>
  <si>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</si>
  <si>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</si>
  <si>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</si>
  <si>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</si>
  <si>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</si>
  <si>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</si>
  <si>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</si>
  <si>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</si>
  <si>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</si>
  <si>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</si>
  <si>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</si>
  <si>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</si>
  <si>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</si>
  <si>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</si>
  <si>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</si>
  <si>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</si>
  <si>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</si>
  <si>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</si>
  <si>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</si>
  <si>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</si>
  <si>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</si>
  <si>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</si>
  <si>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</si>
  <si>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</si>
  <si>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</si>
  <si>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</si>
  <si>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</si>
  <si>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</si>
  <si>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</si>
  <si>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</si>
  <si>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</si>
  <si>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</si>
  <si>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</si>
  <si>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</si>
  <si>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</si>
  <si>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</si>
  <si>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</si>
  <si>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</si>
  <si>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</si>
  <si>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</si>
  <si>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</si>
  <si>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</si>
  <si>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</si>
  <si>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</si>
  <si>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</si>
  <si>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</si>
  <si>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</si>
  <si>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</si>
  <si>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</si>
  <si>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</si>
  <si>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</si>
  <si>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</si>
  <si>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</si>
  <si>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</si>
  <si>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</si>
  <si>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</si>
  <si>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</si>
  <si>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</si>
  <si>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</si>
  <si>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</si>
  <si>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</si>
  <si>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</si>
  <si>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</si>
  <si>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</si>
  <si>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</si>
  <si>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</si>
  <si>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</si>
  <si>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</si>
  <si>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</si>
  <si>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</si>
  <si>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</si>
  <si>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</si>
  <si>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</si>
  <si>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</si>
  <si>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</si>
  <si>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</si>
  <si>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</si>
  <si>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</si>
  <si>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</si>
  <si>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</si>
  <si>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</si>
  <si>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</si>
  <si>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</si>
  <si>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</si>
  <si>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</si>
  <si>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</si>
  <si>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</si>
  <si>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</si>
  <si>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</si>
  <si>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</si>
  <si>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</si>
  <si>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</si>
  <si>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</si>
  <si>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</si>
  <si>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</si>
  <si>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</si>
  <si>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</si>
  <si>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</si>
  <si>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</si>
  <si>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</si>
  <si>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</si>
  <si>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</si>
  <si>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</si>
  <si>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</si>
  <si>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</si>
  <si>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</si>
  <si>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</si>
  <si>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</si>
  <si>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</si>
  <si>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</si>
  <si>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</si>
  <si>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</si>
  <si>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</si>
  <si>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</si>
  <si>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</si>
  <si>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</si>
  <si>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</si>
  <si>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</si>
  <si>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</si>
  <si>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</si>
  <si>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</si>
  <si>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</si>
  <si>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</si>
  <si>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</si>
  <si>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</si>
  <si>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</si>
  <si>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</si>
  <si>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</si>
  <si>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</si>
  <si>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</si>
  <si>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</si>
  <si>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</si>
  <si>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</si>
  <si>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</si>
  <si>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</si>
  <si>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</si>
  <si>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</si>
  <si>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</si>
  <si>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</si>
  <si>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</si>
  <si>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</si>
  <si>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</si>
  <si>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</si>
  <si>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</si>
  <si>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</si>
  <si>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</si>
  <si>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</si>
  <si>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</si>
  <si>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</si>
  <si>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</si>
  <si>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</si>
  <si>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</si>
  <si>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</si>
  <si>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</si>
  <si>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</si>
  <si>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</si>
  <si>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</si>
  <si>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</si>
  <si>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</si>
  <si>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</si>
  <si>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</si>
  <si>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</si>
  <si>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</si>
  <si>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</si>
  <si>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</si>
  <si>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</si>
  <si>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</si>
  <si>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</si>
  <si>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</si>
  <si>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</si>
  <si>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</si>
  <si>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</si>
  <si>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</si>
  <si>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</si>
  <si>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</si>
  <si>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</si>
  <si>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</si>
  <si>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</si>
  <si>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</si>
  <si>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</si>
  <si>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</si>
  <si>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</si>
  <si>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</si>
  <si>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</si>
  <si>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</si>
  <si>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</si>
  <si>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</si>
  <si>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</si>
  <si>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</si>
  <si>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</si>
  <si>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</si>
  <si>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</si>
  <si>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</si>
  <si>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</si>
  <si>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</si>
  <si>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</si>
  <si>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</si>
  <si>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</si>
  <si>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</si>
  <si>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</si>
  <si>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</si>
  <si>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</si>
  <si>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</si>
  <si>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</si>
  <si>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</si>
  <si>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</si>
  <si>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</si>
  <si>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</si>
  <si>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</si>
  <si>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</si>
  <si>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</si>
  <si>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</si>
  <si>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</si>
  <si>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</si>
  <si>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</si>
  <si>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</si>
  <si>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</si>
  <si>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</si>
  <si>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</si>
  <si>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</si>
  <si>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</si>
  <si>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</si>
  <si>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</si>
  <si>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</si>
  <si>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</si>
  <si>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</si>
  <si>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</si>
  <si>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</si>
  <si>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</si>
  <si>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</si>
  <si>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</si>
  <si>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</si>
  <si>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</si>
  <si>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</si>
  <si>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</si>
  <si>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</si>
  <si>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</si>
  <si>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</si>
  <si>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</si>
  <si>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</si>
  <si>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</si>
  <si>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</si>
  <si>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</si>
  <si>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</si>
  <si>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</si>
  <si>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</si>
  <si>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</si>
  <si>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</si>
  <si>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</si>
  <si>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</si>
  <si>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</si>
  <si>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</si>
  <si>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</si>
  <si>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</si>
  <si>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</si>
  <si>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</si>
  <si>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</si>
  <si>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</si>
  <si>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</si>
  <si>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</si>
  <si>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</si>
  <si>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</si>
  <si>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</si>
  <si>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</si>
  <si>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</si>
  <si>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</si>
  <si>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</si>
  <si>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</si>
  <si>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</si>
  <si>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</si>
  <si>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</si>
  <si>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</si>
  <si>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</si>
  <si>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</si>
  <si>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</si>
  <si>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</si>
  <si>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</si>
  <si>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</si>
  <si>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</si>
  <si>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</si>
  <si>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</si>
  <si>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</si>
  <si>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</si>
  <si>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</si>
  <si>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</si>
  <si>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</si>
  <si>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</si>
  <si>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</si>
  <si>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</si>
  <si>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</si>
  <si>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</si>
  <si>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</si>
  <si>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</si>
  <si>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</si>
  <si>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</si>
  <si>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</si>
  <si>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</si>
  <si>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</si>
  <si>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</si>
  <si>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</si>
  <si>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</si>
  <si>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</si>
  <si>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</si>
  <si>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</si>
  <si>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</si>
  <si>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</si>
  <si>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</si>
  <si>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</si>
  <si>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</si>
  <si>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</si>
  <si>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</si>
  <si>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</si>
  <si>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</si>
  <si>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</si>
  <si>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</si>
  <si>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</si>
  <si>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</si>
  <si>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</si>
  <si>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</si>
  <si>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</si>
  <si>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</si>
  <si>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</si>
  <si>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</si>
  <si>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</si>
  <si>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</si>
  <si>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</si>
  <si>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</si>
  <si>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</si>
  <si>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</si>
  <si>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</si>
  <si>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</si>
  <si>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</si>
  <si>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</si>
  <si>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</si>
  <si>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</si>
  <si>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</si>
  <si>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</si>
  <si>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</si>
  <si>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</si>
  <si>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</si>
  <si>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</si>
  <si>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</si>
  <si>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</si>
  <si>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</si>
  <si>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</si>
  <si>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</si>
  <si>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</si>
  <si>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</si>
  <si>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</si>
  <si>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</si>
  <si>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</si>
  <si>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</si>
  <si>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</si>
  <si>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</si>
  <si>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</si>
  <si>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</si>
  <si>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</si>
  <si>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</si>
  <si>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</si>
  <si>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</si>
  <si>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</si>
  <si>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</si>
  <si>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</si>
  <si>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</si>
  <si>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</si>
  <si>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</si>
  <si>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</si>
  <si>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</si>
  <si>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</si>
  <si>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</si>
  <si>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</si>
  <si>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</si>
  <si>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</si>
  <si>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</si>
  <si>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</si>
  <si>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</si>
  <si>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</si>
  <si>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</si>
  <si>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</si>
  <si>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</si>
  <si>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</si>
  <si>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</si>
  <si>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</si>
  <si>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</si>
  <si>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</si>
  <si>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</si>
  <si>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</si>
  <si>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</si>
  <si>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</si>
  <si>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</si>
  <si>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</si>
  <si>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</si>
  <si>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</si>
  <si>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</si>
  <si>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</si>
  <si>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</si>
  <si>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</si>
  <si>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</si>
  <si>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</si>
  <si>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</si>
  <si>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</si>
  <si>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</si>
  <si>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</si>
  <si>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</si>
  <si>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</si>
  <si>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</si>
  <si>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</si>
  <si>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</si>
  <si>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</si>
  <si>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</si>
  <si>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</si>
  <si>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</si>
  <si>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</si>
  <si>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</si>
  <si>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</si>
  <si>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</si>
  <si>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</si>
  <si>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</si>
  <si>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</si>
  <si>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</si>
  <si>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</si>
  <si>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</si>
  <si>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</si>
  <si>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</si>
  <si>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</si>
  <si>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</si>
  <si>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</si>
  <si>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</si>
  <si>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</si>
  <si>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</si>
  <si>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</si>
  <si>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</si>
  <si>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</si>
  <si>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</si>
  <si>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</si>
  <si>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</si>
  <si>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</si>
  <si>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</si>
  <si>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</si>
  <si>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</si>
  <si>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</si>
  <si>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</si>
  <si>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</si>
  <si>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</si>
  <si>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</si>
  <si>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</si>
  <si>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</si>
  <si>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</si>
  <si>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</si>
  <si>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</si>
  <si>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</si>
  <si>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</si>
  <si>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</si>
  <si>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</si>
  <si>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</si>
  <si>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</si>
  <si>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</si>
  <si>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</si>
  <si>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</si>
  <si>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</si>
  <si>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</si>
  <si>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</si>
  <si>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</si>
  <si>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</si>
  <si>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</si>
  <si>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</si>
  <si>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</si>
  <si>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</si>
  <si>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</si>
  <si>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</si>
  <si>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</si>
  <si>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</si>
  <si>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</si>
  <si>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</si>
  <si>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</si>
  <si>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</si>
  <si>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</si>
  <si>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</si>
  <si>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</si>
  <si>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</si>
  <si>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</si>
  <si>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</si>
  <si>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</si>
  <si>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</si>
  <si>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</si>
  <si>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</si>
  <si>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</si>
  <si>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</si>
  <si>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</si>
  <si>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</si>
  <si>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</si>
  <si>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</si>
  <si>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</si>
  <si>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</si>
  <si>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</si>
  <si>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</si>
  <si>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</si>
  <si>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</si>
  <si>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</si>
  <si>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</si>
  <si>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</si>
  <si>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</si>
  <si>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</si>
  <si>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</si>
  <si>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</si>
  <si>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</si>
  <si>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</si>
  <si>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</si>
  <si>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</si>
  <si>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</si>
  <si>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</si>
  <si>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</si>
  <si>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</si>
  <si>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</si>
  <si>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</si>
  <si>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</si>
  <si>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</si>
  <si>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</si>
  <si>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</si>
  <si>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</si>
  <si>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</si>
  <si>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</si>
  <si>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</si>
  <si>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</si>
  <si>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</si>
  <si>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</si>
  <si>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</si>
  <si>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</si>
  <si>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</si>
  <si>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</si>
  <si>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</si>
  <si>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</si>
  <si>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</si>
  <si>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</si>
  <si>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</si>
  <si>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</si>
  <si>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</si>
  <si>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</si>
  <si>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</si>
  <si>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</si>
  <si>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</si>
  <si>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</si>
  <si>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</si>
  <si>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</si>
  <si>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</si>
  <si>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</si>
  <si>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</si>
  <si>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</si>
  <si>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</si>
  <si>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</si>
  <si>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</si>
  <si>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</si>
  <si>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</si>
  <si>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</si>
  <si>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</si>
  <si>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</si>
  <si>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</si>
  <si>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</si>
  <si>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</si>
  <si>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</si>
  <si>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</si>
  <si>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</si>
  <si>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</si>
  <si>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</si>
  <si>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</si>
  <si>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</si>
  <si>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</si>
  <si>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</si>
  <si>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</si>
  <si>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</si>
  <si>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</si>
  <si>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</si>
  <si>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</si>
  <si>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</si>
  <si>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</si>
  <si>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</si>
  <si>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</si>
  <si>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</si>
  <si>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</si>
  <si>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</si>
  <si>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</si>
  <si>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</si>
  <si>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</si>
  <si>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</si>
  <si>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</si>
  <si>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</si>
  <si>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</si>
  <si>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</si>
  <si>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</si>
  <si>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</si>
  <si>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</si>
  <si>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</si>
  <si>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</si>
  <si>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</si>
  <si>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</si>
  <si>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</si>
  <si>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</si>
  <si>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</si>
  <si>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</si>
  <si>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</si>
  <si>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</si>
  <si>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</si>
  <si>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</si>
  <si>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</si>
  <si>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</si>
  <si>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</si>
  <si>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</si>
  <si>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</si>
  <si>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</si>
  <si>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</si>
  <si>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</si>
  <si>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</si>
  <si>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</si>
  <si>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</si>
  <si>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</si>
  <si>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</si>
  <si>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</si>
  <si>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</si>
  <si>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</si>
  <si>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</si>
  <si>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</si>
  <si>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</si>
  <si>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</si>
  <si>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</si>
  <si>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</si>
  <si>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</si>
  <si>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</si>
  <si>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</si>
  <si>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</si>
  <si>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</si>
  <si>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</si>
  <si>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</si>
  <si>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</si>
  <si>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</si>
  <si>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</si>
  <si>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</si>
  <si>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</si>
  <si>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</si>
  <si>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</si>
  <si>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</si>
  <si>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</si>
  <si>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</si>
  <si>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</si>
  <si>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</si>
  <si>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</si>
  <si>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</si>
  <si>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</si>
  <si>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</si>
  <si>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</si>
  <si>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</si>
  <si>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</si>
  <si>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</si>
  <si>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</si>
  <si>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</si>
  <si>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</si>
  <si>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</si>
  <si>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</si>
  <si>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</si>
  <si>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</si>
  <si>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</si>
  <si>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</si>
  <si>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</si>
  <si>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</si>
  <si>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</si>
  <si>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</si>
  <si>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</si>
  <si>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</si>
  <si>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</si>
  <si>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</si>
  <si>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</si>
  <si>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</si>
  <si>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</si>
  <si>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</si>
  <si>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</si>
  <si>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</si>
  <si>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</si>
  <si>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</si>
  <si>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</si>
  <si>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</si>
  <si>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</si>
  <si>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</si>
  <si>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</si>
  <si>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</si>
  <si>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</si>
  <si>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</si>
  <si>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</si>
  <si>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</si>
  <si>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</si>
  <si>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</si>
  <si>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</si>
  <si>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</si>
  <si>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</si>
  <si>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</si>
  <si>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</si>
  <si>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</si>
  <si>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</si>
  <si>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</si>
  <si>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</si>
  <si>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</si>
  <si>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</si>
  <si>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</si>
  <si>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</si>
  <si>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</si>
  <si>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</si>
  <si>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</si>
  <si>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</si>
  <si>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</si>
  <si>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</si>
  <si>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</si>
  <si>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</si>
  <si>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</si>
  <si>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</si>
  <si>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</si>
  <si>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</si>
  <si>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</si>
  <si>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</si>
  <si>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</si>
  <si>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</si>
  <si>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</si>
  <si>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</si>
  <si>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</si>
  <si>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</si>
  <si>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</si>
  <si>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</si>
  <si>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</si>
  <si>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</si>
  <si>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</si>
  <si>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</si>
  <si>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</si>
  <si>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</si>
  <si>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</si>
  <si>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</si>
  <si>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</si>
  <si>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</si>
  <si>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</si>
  <si>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</si>
  <si>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</si>
  <si>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</si>
  <si>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</si>
  <si>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</si>
  <si>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</si>
  <si>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</si>
  <si>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</si>
  <si>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</si>
  <si>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</si>
  <si>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</si>
  <si>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</si>
  <si>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</si>
  <si>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</si>
  <si>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</si>
  <si>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</si>
  <si>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</si>
  <si>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</si>
  <si>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</si>
  <si>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</si>
  <si>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</si>
  <si>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</si>
  <si>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</si>
  <si>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</si>
  <si>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</si>
  <si>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</si>
  <si>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</si>
  <si>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</si>
  <si>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</si>
  <si>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</si>
  <si>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</si>
  <si>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</si>
  <si>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</si>
  <si>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</si>
  <si>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</si>
  <si>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</si>
  <si>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</si>
  <si>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</si>
  <si>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</si>
  <si>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</si>
  <si>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</si>
  <si>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</si>
  <si>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</si>
  <si>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</si>
  <si>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</si>
  <si>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</si>
  <si>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</si>
  <si>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</si>
  <si>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</si>
  <si>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</si>
  <si>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</si>
  <si>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</si>
  <si>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</si>
  <si>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</si>
  <si>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</si>
  <si>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</si>
  <si>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</si>
  <si>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</si>
  <si>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</si>
  <si>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</si>
  <si>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</si>
  <si>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</si>
  <si>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</si>
  <si>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</si>
  <si>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</si>
  <si>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</si>
  <si>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</si>
  <si>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</si>
  <si>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</si>
  <si>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</si>
  <si>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</si>
  <si>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</si>
  <si>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</si>
  <si>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</si>
  <si>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</si>
  <si>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</si>
  <si>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</si>
  <si>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</si>
  <si>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</si>
  <si>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</si>
  <si>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</si>
  <si>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</si>
  <si>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</si>
  <si>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</si>
  <si>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</si>
  <si>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</si>
  <si>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</si>
  <si>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</si>
  <si>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</si>
  <si>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</si>
  <si>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</si>
  <si>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</si>
  <si>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</si>
  <si>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</si>
  <si>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</si>
  <si>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</si>
  <si>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</si>
  <si>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</si>
  <si>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</si>
  <si>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</si>
  <si>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</si>
  <si>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</si>
  <si>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</si>
  <si>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</si>
  <si>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</si>
  <si>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</si>
  <si>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</si>
  <si>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</si>
  <si>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</si>
  <si>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</si>
  <si>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</si>
  <si>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</si>
  <si>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</si>
  <si>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</si>
  <si>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</si>
  <si>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</si>
  <si>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</si>
  <si>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</si>
  <si>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</si>
  <si>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</si>
  <si>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</si>
  <si>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</si>
  <si>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</si>
  <si>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</si>
  <si>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</si>
  <si>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</si>
  <si>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</si>
  <si>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</si>
  <si>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</si>
  <si>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</si>
  <si>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</si>
  <si>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</si>
  <si>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</si>
  <si>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</si>
  <si>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</si>
  <si>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</si>
  <si>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</si>
  <si>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</si>
  <si>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</si>
  <si>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</si>
  <si>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</si>
  <si>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</si>
  <si>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</si>
  <si>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</si>
  <si>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</si>
  <si>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</si>
  <si>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</si>
  <si>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</si>
  <si>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</si>
  <si>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</si>
  <si>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</si>
  <si>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</si>
  <si>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</si>
  <si>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</si>
  <si>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</si>
  <si>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</si>
  <si>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</si>
  <si>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</si>
  <si>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</si>
  <si>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</si>
  <si>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</si>
  <si>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</si>
  <si>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</si>
  <si>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</si>
  <si>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</si>
  <si>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</si>
  <si>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</si>
  <si>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</si>
  <si>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</si>
  <si>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</si>
  <si>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</si>
  <si>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</si>
  <si>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</si>
  <si>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</si>
  <si>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</si>
  <si>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</si>
  <si>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</si>
  <si>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</si>
  <si>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</si>
  <si>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</si>
  <si>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</si>
  <si>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</si>
  <si>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</si>
  <si>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</si>
  <si>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</si>
  <si>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</si>
  <si>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</si>
  <si>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</si>
  <si>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</si>
  <si>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</si>
  <si>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</si>
  <si>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</si>
  <si>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</si>
  <si>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</si>
  <si>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</si>
  <si>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</si>
  <si>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</si>
  <si>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</si>
  <si>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</si>
  <si>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</si>
  <si>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</si>
  <si>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</si>
  <si>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</si>
  <si>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</si>
  <si>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</si>
  <si>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</si>
  <si>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</si>
  <si>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</si>
  <si>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</si>
  <si>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</si>
  <si>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</si>
  <si>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</si>
  <si>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</si>
  <si>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</si>
  <si>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</si>
  <si>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</si>
  <si>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</si>
  <si>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</si>
  <si>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</si>
  <si>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</si>
  <si>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</si>
  <si>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</si>
  <si>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</si>
  <si>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</si>
  <si>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</si>
  <si>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</si>
  <si>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</si>
  <si>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</si>
  <si>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</si>
  <si>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</si>
  <si>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</si>
  <si>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</si>
  <si>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</si>
  <si>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</si>
  <si>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</si>
  <si>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</si>
  <si>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</si>
  <si>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</si>
  <si>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</si>
  <si>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</si>
  <si>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</si>
  <si>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</si>
  <si>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</si>
  <si>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</si>
  <si>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</si>
  <si>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</si>
  <si>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</si>
  <si>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</si>
  <si>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</si>
  <si>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</si>
  <si>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</si>
  <si>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</si>
  <si>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</si>
  <si>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</si>
  <si>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</si>
  <si>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</si>
  <si>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</si>
  <si>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</si>
  <si>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</si>
  <si>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</si>
  <si>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</si>
  <si>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</si>
  <si>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</si>
  <si>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</si>
  <si>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</si>
  <si>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</si>
  <si>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</si>
  <si>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</si>
  <si>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</si>
  <si>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</si>
  <si>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</si>
  <si>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</si>
  <si>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</si>
  <si>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</si>
  <si>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</si>
  <si>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</si>
  <si>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</si>
  <si>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</si>
  <si>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</si>
  <si>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</si>
  <si>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</si>
  <si>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</si>
  <si>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</si>
  <si>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</si>
  <si>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</si>
  <si>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</si>
  <si>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</si>
  <si>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</si>
  <si>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</si>
  <si>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</si>
  <si>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</si>
  <si>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</si>
  <si>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</si>
  <si>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</si>
  <si>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</si>
  <si>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</si>
  <si>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</si>
  <si>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</si>
  <si>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</si>
  <si>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</si>
  <si>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</si>
  <si>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</si>
  <si>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</si>
  <si>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</si>
  <si>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</si>
  <si>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</si>
  <si>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</si>
  <si>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</si>
  <si>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</si>
  <si>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</si>
  <si>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</si>
  <si>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</si>
  <si>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</si>
  <si>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</si>
  <si>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</si>
  <si>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</si>
  <si>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</si>
  <si>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</si>
  <si>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</si>
  <si>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</si>
  <si>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</si>
  <si>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</si>
  <si>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</si>
  <si>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</si>
  <si>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</si>
  <si>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</si>
  <si>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</si>
  <si>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</si>
  <si>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</si>
  <si>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</si>
  <si>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</si>
  <si>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</si>
  <si>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</si>
  <si>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</si>
  <si>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</si>
  <si>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</si>
  <si>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</si>
  <si>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</si>
  <si>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</si>
  <si>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</si>
  <si>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</si>
  <si>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</si>
  <si>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</si>
  <si>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</si>
  <si>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</si>
  <si>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</si>
  <si>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</si>
  <si>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</si>
  <si>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</si>
  <si>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</si>
  <si>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</si>
  <si>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</si>
  <si>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</si>
  <si>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</si>
  <si>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</si>
  <si>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</si>
  <si>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</si>
  <si>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</si>
  <si>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</si>
  <si>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</si>
  <si>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</si>
  <si>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</si>
  <si>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</si>
  <si>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</si>
  <si>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</si>
  <si>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</si>
  <si>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</si>
  <si>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</si>
  <si>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</si>
  <si>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</si>
  <si>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</si>
  <si>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</si>
  <si>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</si>
  <si>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</si>
  <si>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</si>
  <si>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</si>
  <si>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</si>
  <si>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</si>
  <si>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</si>
  <si>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</si>
  <si>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</si>
  <si>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</si>
  <si>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</si>
  <si>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</si>
  <si>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</si>
  <si>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</si>
  <si>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</si>
  <si>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</si>
  <si>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</si>
  <si>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</si>
  <si>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</si>
  <si>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</si>
  <si>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</si>
  <si>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</si>
  <si>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</si>
  <si>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</si>
  <si>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</si>
  <si>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</si>
  <si>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</si>
  <si>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</si>
  <si>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</si>
  <si>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</si>
  <si>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</si>
  <si>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</si>
  <si>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</si>
  <si>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</si>
  <si>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</si>
  <si>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</si>
  <si>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</si>
  <si>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</si>
  <si>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</si>
  <si>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</si>
  <si>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</si>
  <si>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</si>
  <si>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</si>
  <si>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</si>
  <si>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</si>
  <si>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</si>
  <si>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</si>
  <si>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</si>
  <si>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</si>
  <si>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</si>
  <si>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</si>
  <si>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</si>
  <si>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</si>
  <si>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</si>
  <si>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</si>
  <si>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</si>
  <si>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</si>
  <si>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</si>
  <si>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</si>
  <si>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</si>
  <si>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</si>
  <si>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</si>
  <si>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</si>
  <si>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</si>
  <si>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</si>
  <si>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</si>
  <si>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</si>
  <si>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</si>
  <si>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</si>
  <si>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</si>
  <si>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</si>
  <si>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</si>
  <si>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</si>
  <si>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</si>
  <si>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</si>
  <si>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</si>
  <si>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</si>
  <si>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</si>
  <si>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</si>
  <si>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</si>
  <si>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</si>
  <si>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</si>
  <si>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</si>
  <si>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</si>
  <si>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</si>
  <si>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</si>
  <si>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</si>
  <si>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</si>
  <si>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</si>
  <si>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</si>
  <si>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</si>
  <si>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</si>
  <si>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</si>
  <si>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</si>
  <si>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</si>
  <si>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</si>
  <si>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</si>
  <si>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</si>
  <si>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</si>
  <si>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</si>
  <si>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</si>
  <si>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</si>
  <si>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</si>
  <si>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</si>
  <si>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</si>
  <si>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</si>
  <si>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</si>
  <si>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</si>
  <si>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</si>
  <si>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</si>
  <si>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</si>
  <si>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</si>
  <si>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</si>
  <si>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</si>
  <si>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</si>
  <si>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</si>
  <si>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</si>
  <si>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</si>
  <si>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</si>
  <si>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</si>
  <si>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</si>
  <si>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</si>
  <si>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</si>
  <si>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</si>
  <si>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</si>
  <si>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</si>
  <si>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</si>
  <si>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</si>
  <si>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</si>
  <si>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</si>
  <si>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</si>
  <si>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</si>
  <si>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</si>
  <si>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</si>
  <si>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</si>
  <si>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</si>
  <si>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</si>
  <si>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</si>
  <si>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</si>
  <si>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</si>
  <si>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</si>
  <si>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</si>
  <si>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</si>
  <si>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</si>
  <si>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</si>
  <si>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</si>
  <si>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</si>
  <si>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</si>
  <si>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</si>
  <si>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</si>
  <si>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</si>
  <si>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</si>
  <si>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</si>
  <si>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</si>
  <si>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</si>
  <si>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</si>
  <si>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</si>
  <si>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</si>
  <si>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</si>
  <si>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</si>
  <si>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</si>
  <si>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</si>
  <si>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</si>
  <si>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</si>
  <si>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</si>
  <si>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</si>
  <si>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</si>
  <si>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</si>
  <si>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</si>
  <si>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</si>
  <si>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</si>
  <si>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</si>
  <si>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</si>
  <si>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</si>
  <si>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</si>
  <si>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</si>
  <si>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</si>
  <si>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</si>
  <si>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</si>
  <si>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</si>
  <si>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</si>
  <si>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</si>
  <si>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</si>
  <si>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</si>
  <si>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</si>
  <si>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</si>
  <si>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</si>
  <si>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</si>
  <si>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</si>
  <si>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</si>
  <si>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</si>
  <si>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</si>
  <si>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</si>
  <si>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</si>
  <si>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</si>
  <si>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</si>
  <si>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</si>
  <si>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</si>
  <si>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</si>
  <si>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</si>
  <si>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</si>
  <si>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</si>
  <si>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</si>
  <si>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</si>
  <si>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</si>
  <si>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</si>
  <si>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</si>
  <si>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</si>
  <si>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</si>
  <si>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</si>
  <si>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</si>
  <si>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</si>
  <si>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</si>
  <si>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</si>
  <si>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</si>
  <si>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</si>
  <si>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</si>
  <si>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</si>
  <si>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</si>
  <si>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</si>
  <si>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</si>
  <si>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</si>
  <si>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</si>
  <si>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</si>
  <si>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</si>
  <si>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</si>
  <si>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</si>
  <si>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</si>
  <si>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</si>
  <si>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</si>
  <si>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</si>
  <si>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</si>
  <si>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</si>
  <si>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</si>
  <si>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</si>
  <si>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</si>
  <si>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</si>
  <si>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</si>
  <si>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</si>
  <si>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</si>
  <si>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</si>
  <si>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</si>
  <si>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</si>
  <si>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</si>
  <si>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</si>
  <si>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</si>
  <si>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</si>
  <si>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</si>
  <si>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</si>
  <si>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</si>
  <si>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</si>
  <si>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</si>
  <si>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</si>
  <si>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</si>
  <si>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</si>
  <si>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</si>
  <si>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</si>
  <si>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</si>
  <si>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</si>
  <si>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</si>
  <si>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</si>
  <si>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</si>
  <si>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</si>
  <si>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</si>
  <si>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</si>
  <si>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</si>
  <si>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</si>
  <si>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</si>
  <si>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</si>
  <si>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</si>
  <si>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</si>
  <si>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</si>
  <si>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</si>
  <si>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</si>
  <si>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</si>
  <si>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</si>
  <si>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</si>
  <si>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</si>
  <si>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</si>
  <si>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</si>
  <si>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</si>
  <si>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</si>
  <si>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</si>
  <si>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</si>
  <si>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</si>
  <si>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</si>
  <si>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</si>
  <si>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</si>
  <si>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</si>
  <si>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</si>
  <si>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</si>
  <si>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</si>
  <si>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</si>
  <si>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</si>
  <si>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</si>
  <si>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</si>
  <si>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</si>
  <si>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</si>
  <si>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</si>
  <si>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</si>
  <si>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</si>
  <si>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</si>
  <si>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</si>
  <si>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</si>
  <si>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</si>
  <si>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</si>
  <si>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</si>
  <si>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</si>
  <si>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</si>
  <si>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</si>
  <si>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</si>
  <si>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</si>
  <si>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</si>
  <si>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</si>
  <si>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</si>
  <si>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</si>
  <si>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</si>
  <si>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</si>
  <si>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</si>
  <si>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</si>
  <si>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</si>
  <si>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</si>
  <si>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</si>
  <si>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</si>
  <si>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</si>
  <si>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</si>
  <si>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</si>
  <si>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</si>
  <si>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</si>
  <si>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</si>
  <si>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</si>
  <si>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</si>
  <si>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</si>
  <si>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</si>
  <si>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</si>
  <si>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</si>
  <si>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</si>
  <si>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</si>
  <si>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</si>
  <si>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</si>
  <si>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</si>
  <si>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</si>
  <si>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</si>
  <si>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</si>
  <si>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</si>
  <si>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</si>
  <si>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</si>
  <si>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</si>
  <si>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</si>
  <si>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</si>
  <si>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</si>
  <si>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</si>
  <si>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</si>
  <si>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</si>
  <si>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</si>
  <si>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</si>
  <si>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</si>
  <si>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</si>
  <si>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</si>
  <si>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</si>
  <si>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</si>
  <si>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</si>
  <si>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</si>
  <si>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</si>
  <si>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</si>
  <si>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</si>
  <si>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</si>
  <si>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</si>
  <si>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</si>
  <si>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</si>
  <si>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</si>
  <si>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</si>
  <si>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</si>
  <si>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</si>
  <si>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</si>
  <si>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</si>
  <si>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</si>
  <si>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</si>
  <si>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</si>
  <si>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</si>
  <si>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</si>
  <si>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</si>
  <si>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</si>
  <si>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</si>
  <si>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</si>
  <si>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</si>
  <si>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</si>
  <si>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</si>
  <si>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</si>
  <si>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</si>
  <si>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</si>
  <si>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</si>
  <si>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</si>
  <si>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</si>
  <si>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</si>
  <si>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</si>
  <si>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</si>
  <si>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</si>
  <si>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</si>
  <si>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</si>
  <si>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</si>
  <si>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</si>
  <si>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</si>
  <si>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</si>
  <si>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</si>
  <si>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</si>
  <si>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</si>
  <si>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</si>
  <si>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</si>
  <si>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</si>
  <si>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</si>
  <si>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</si>
  <si>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</si>
  <si>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</si>
  <si>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</si>
  <si>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</si>
  <si>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</si>
  <si>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</si>
  <si>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</si>
  <si>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</si>
  <si>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</si>
  <si>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</si>
  <si>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</si>
  <si>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</si>
  <si>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</si>
  <si>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</si>
  <si>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</si>
  <si>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</si>
  <si>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</si>
  <si>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</si>
  <si>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</si>
  <si>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</si>
  <si>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</si>
  <si>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</si>
  <si>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</si>
  <si>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</si>
  <si>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</si>
  <si>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</si>
  <si>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</si>
  <si>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</si>
  <si>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</si>
  <si>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</si>
  <si>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</si>
  <si>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</si>
  <si>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</si>
  <si>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</si>
  <si>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</si>
  <si>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</si>
  <si>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</si>
  <si>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</si>
  <si>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</si>
  <si>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</si>
  <si>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</si>
  <si>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</si>
  <si>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</si>
  <si>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</si>
  <si>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</si>
  <si>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</si>
  <si>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</si>
  <si>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</si>
  <si>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</si>
  <si>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</si>
  <si>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</si>
  <si>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</si>
  <si>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</si>
  <si>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</si>
  <si>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</si>
  <si>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</si>
  <si>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</si>
  <si>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</si>
  <si>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</si>
  <si>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</si>
  <si>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</si>
  <si>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</si>
  <si>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</si>
  <si>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</si>
  <si>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</si>
  <si>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</si>
  <si>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</si>
  <si>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</si>
  <si>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</si>
  <si>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</si>
  <si>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</si>
  <si>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</si>
  <si>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</si>
  <si>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</si>
  <si>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</si>
  <si>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</si>
  <si>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</si>
  <si>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</si>
  <si>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</si>
  <si>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</si>
  <si>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</si>
  <si>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t>地下车库及设备用房</t>
  </si>
  <si>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</si>
  <si>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</si>
  <si>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</si>
  <si>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</si>
  <si>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</si>
  <si>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</si>
  <si>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</si>
  <si>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</si>
  <si>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</si>
  <si>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</si>
  <si>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</si>
  <si>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</si>
  <si>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</si>
  <si>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</si>
  <si>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</si>
  <si>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</si>
  <si>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</si>
  <si>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</si>
  <si>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</si>
  <si>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</si>
  <si>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</si>
  <si>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</si>
  <si>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</si>
  <si>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</si>
  <si>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</si>
  <si>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</si>
  <si>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</si>
  <si>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</si>
  <si>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</si>
  <si>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</si>
  <si>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</si>
  <si>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</si>
  <si>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</si>
  <si>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</si>
  <si>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</si>
  <si>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</si>
  <si>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</si>
  <si>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</si>
  <si>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</si>
  <si>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</si>
  <si>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</si>
  <si>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</si>
  <si>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</si>
  <si>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</si>
  <si>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</si>
  <si>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</si>
  <si>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</si>
  <si>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</si>
  <si>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</si>
  <si>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</si>
  <si>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</si>
  <si>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</si>
  <si>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</si>
  <si>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</si>
  <si>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</si>
  <si>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</si>
  <si>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</si>
  <si>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</si>
  <si>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</si>
  <si>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</si>
  <si>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</si>
  <si>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</si>
  <si>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</si>
  <si>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</si>
  <si>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</si>
  <si>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</si>
  <si>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</si>
  <si>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</si>
  <si>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</si>
  <si>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</si>
  <si>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</si>
  <si>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</si>
  <si>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</si>
  <si>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</si>
  <si>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</si>
  <si>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</si>
  <si>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</si>
  <si>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</si>
  <si>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</si>
  <si>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</si>
  <si>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</si>
  <si>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</si>
  <si>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</si>
  <si>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</si>
  <si>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</si>
  <si>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</si>
  <si>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</si>
  <si>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</si>
  <si>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</si>
  <si>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</si>
  <si>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</si>
  <si>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</si>
  <si>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</si>
  <si>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</si>
  <si>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</si>
  <si>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</si>
  <si>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</si>
  <si>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</si>
  <si>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</si>
  <si>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</si>
  <si>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</si>
  <si>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</si>
  <si>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</si>
  <si>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</si>
  <si>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</si>
  <si>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</si>
  <si>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</si>
  <si>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</si>
  <si>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</si>
  <si>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</si>
  <si>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</si>
  <si>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</si>
  <si>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</si>
  <si>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</si>
  <si>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</si>
  <si>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</si>
  <si>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</si>
  <si>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</si>
  <si>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</si>
  <si>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</si>
  <si>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</si>
  <si>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</si>
  <si>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</si>
  <si>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</si>
  <si>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</si>
  <si>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</si>
  <si>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</si>
  <si>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</si>
  <si>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</si>
  <si>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</si>
  <si>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</si>
  <si>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</si>
  <si>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</si>
  <si>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</si>
  <si>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</si>
  <si>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</si>
  <si>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</si>
  <si>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</si>
  <si>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</si>
  <si>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</si>
  <si>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</si>
  <si>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</si>
  <si>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</si>
  <si>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</si>
  <si>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</si>
  <si>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</si>
  <si>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</si>
  <si>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</si>
  <si>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</si>
  <si>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</si>
  <si>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</si>
  <si>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</si>
  <si>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</si>
  <si>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</si>
  <si>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</si>
  <si>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</si>
  <si>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</si>
  <si>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</si>
  <si>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</si>
  <si>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</si>
  <si>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</si>
  <si>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</si>
  <si>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</si>
  <si>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</si>
  <si>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</si>
  <si>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</si>
  <si>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</si>
  <si>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</si>
  <si>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</si>
  <si>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</si>
  <si>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</si>
  <si>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</si>
  <si>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</si>
  <si>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</si>
  <si>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</si>
  <si>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</si>
  <si>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</si>
  <si>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</si>
  <si>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</si>
  <si>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</si>
  <si>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</si>
  <si>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</si>
  <si>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</si>
  <si>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</si>
  <si>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</si>
  <si>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</si>
  <si>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</si>
  <si>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</si>
  <si>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</si>
  <si>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</si>
  <si>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</si>
  <si>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</si>
  <si>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</si>
  <si>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</si>
  <si>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</si>
  <si>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</si>
  <si>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</si>
  <si>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</si>
  <si>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</si>
  <si>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</si>
  <si>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</si>
  <si>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</si>
  <si>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</si>
  <si>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</si>
  <si>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</si>
  <si>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</si>
  <si>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</si>
  <si>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</si>
  <si>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</si>
  <si>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</si>
  <si>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</si>
  <si>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</si>
  <si>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</si>
  <si>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</si>
  <si>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</si>
  <si>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</si>
  <si>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</si>
  <si>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</si>
  <si>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</si>
  <si>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</si>
  <si>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</si>
  <si>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</si>
  <si>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</si>
  <si>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</si>
  <si>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</si>
  <si>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</si>
  <si>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</si>
  <si>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</si>
  <si>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</si>
  <si>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</si>
  <si>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</si>
  <si>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</si>
  <si>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</si>
  <si>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</si>
  <si>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</si>
  <si>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</si>
  <si>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</si>
  <si>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</si>
  <si>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</si>
  <si>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</si>
  <si>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</si>
  <si>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</si>
  <si>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</si>
  <si>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</si>
  <si>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</si>
  <si>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</si>
  <si>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</si>
  <si>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</si>
  <si>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</si>
  <si>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</si>
  <si>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</si>
  <si>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</si>
  <si>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</si>
  <si>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</si>
  <si>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</si>
  <si>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</si>
  <si>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</si>
  <si>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</si>
  <si>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</si>
  <si>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</si>
  <si>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</si>
  <si>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</si>
  <si>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</si>
  <si>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</si>
  <si>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</si>
  <si>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</si>
  <si>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</si>
  <si>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</si>
  <si>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</si>
  <si>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</si>
  <si>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</si>
  <si>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</si>
  <si>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</si>
  <si>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</si>
  <si>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</si>
  <si>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</si>
  <si>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</si>
  <si>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</si>
  <si>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</si>
  <si>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</si>
  <si>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</si>
  <si>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</si>
  <si>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</si>
  <si>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</si>
  <si>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</si>
  <si>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</si>
  <si>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</si>
  <si>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</si>
  <si>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</si>
  <si>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</si>
  <si>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</si>
  <si>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</si>
  <si>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</si>
  <si>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</si>
  <si>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</si>
  <si>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</si>
  <si>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</si>
  <si>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</si>
  <si>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</si>
  <si>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</si>
  <si>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</si>
  <si>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</si>
  <si>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</si>
  <si>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</si>
  <si>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</si>
  <si>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</si>
  <si>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</si>
  <si>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</si>
  <si>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</si>
  <si>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LOFT公寓用房</t>
  </si>
  <si>
    <t>LOFT公寓用房</t>
    <phoneticPr fontId="16" type="noConversion"/>
  </si>
  <si>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</si>
  <si>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</si>
  <si>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</si>
  <si>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</si>
  <si>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</si>
  <si>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</si>
  <si>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</si>
  <si>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</si>
  <si>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</si>
  <si>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</si>
  <si>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</si>
  <si>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</si>
  <si>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</si>
  <si>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</si>
  <si>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</si>
  <si>
    <r>
      <t>1#</t>
    </r>
    <r>
      <rPr>
        <sz val="10"/>
        <color indexed="8"/>
        <rFont val="宋体"/>
        <family val="3"/>
        <charset val="134"/>
      </rPr>
      <t>楼</t>
    </r>
    <phoneticPr fontId="3" type="noConversion"/>
  </si>
  <si>
    <r>
      <t>2#</t>
    </r>
    <r>
      <rPr>
        <sz val="10"/>
        <color indexed="8"/>
        <rFont val="宋体"/>
        <family val="3"/>
        <charset val="134"/>
      </rPr>
      <t>楼</t>
    </r>
    <r>
      <rPr>
        <sz val="10"/>
        <color indexed="8"/>
        <rFont val="宋体"/>
        <family val="3"/>
        <charset val="134"/>
      </rPr>
      <t/>
    </r>
    <phoneticPr fontId="3" type="noConversion"/>
  </si>
  <si>
    <r>
      <t>3#楼</t>
    </r>
    <r>
      <rPr>
        <sz val="10"/>
        <color indexed="8"/>
        <rFont val="宋体"/>
        <family val="3"/>
        <charset val="134"/>
      </rPr>
      <t/>
    </r>
  </si>
  <si>
    <t>地下车库</t>
    <phoneticPr fontId="3" type="noConversion"/>
  </si>
  <si>
    <t>住宅</t>
  </si>
  <si>
    <t>小高层</t>
  </si>
  <si>
    <t>小高层</t>
    <phoneticPr fontId="16" type="noConversion"/>
  </si>
  <si>
    <t>仓储</t>
  </si>
  <si>
    <t>库房</t>
  </si>
  <si>
    <t>库房</t>
    <phoneticPr fontId="16" type="noConversion"/>
  </si>
  <si>
    <t>套</t>
    <phoneticPr fontId="3" type="noConversion"/>
  </si>
  <si>
    <t>地下车库</t>
    <phoneticPr fontId="7" type="noConversion"/>
  </si>
  <si>
    <t>小高层</t>
    <phoneticPr fontId="7" type="noConversion"/>
  </si>
  <si>
    <t>高新区旅游路以南、凤凰路以西A-13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</si>
</sst>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6" fillId="7" borderId="23"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山东省济南市高新区旅游路以南、凤凰路以西A-13出让国有建设用地使用权及在建建筑物房地产抵押价值预评估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郑燚（注册号：0)、崔锴（注册号：0)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受贵公司委托，我公司对山东省济南市高新区旅游路以南、凤凰路以西A-13出让国有建设用地使用权及在建建筑物房地产抵押价值进行了预评估。</v>
      </c>
    </row>
    <row r="7" spans="1:2" s="1592" customFormat="1">
      <c r="A7" s="1590" t="s">
        <v>1256</v>
      </c>
      <c r="B7" s="1591" t="str">
        <f>'预评函-1'!A7</f>
        <v>估价对象为山东省济南市高新区旅游路以南、凤凰路以西A-13出让国有建设用地使用权及在建建筑物房地产，为所有。根据，估价对象（分摊）出让国有建设用地使用权面积为1244.62平方米，建筑面积为2323.53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高新区旅游路以南、凤凰路以西A-13出让国有建设用地使用权及在建建筑物房地产,属开发建设的办公项目，该项目尚在开发建设中。根据，估价对象（分摊）出让国有建设用地使用权面积为1244.62平方米，规划建筑面积为2323.53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高新区旅游路以南、凤凰路以西A-13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2020年2月10日（评估专业人员实地查勘之日）</v>
      </c>
    </row>
    <row r="13" spans="1:2" s="1592" customFormat="1">
      <c r="A13" s="1590" t="s">
        <v>1219</v>
      </c>
      <c r="B13" s="1591" t="str">
        <f>'预评函-1'!A18</f>
        <v>本次估价的“房地产价值”是指在正常市场情况下，在价值时点2020年2月10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2742</v>
      </c>
    </row>
    <row r="21" spans="1:2" s="1592" customFormat="1">
      <c r="A21" s="1590" t="s">
        <v>1227</v>
      </c>
      <c r="B21" s="1591">
        <f ca="1">'预评函-2'!D7</f>
        <v>11801</v>
      </c>
    </row>
    <row r="22" spans="1:2" s="1592" customFormat="1">
      <c r="A22" s="1590" t="s">
        <v>1228</v>
      </c>
      <c r="B22" s="1591" t="str">
        <f ca="1">'预评函-2'!D6</f>
        <v>贰仟柒佰肆拾贰万元整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2742</v>
      </c>
    </row>
    <row r="31" spans="1:2" s="1592" customFormat="1">
      <c r="A31" s="1590" t="s">
        <v>1266</v>
      </c>
      <c r="B31" s="1591">
        <f ca="1">'预评函-2'!D15</f>
        <v>11801</v>
      </c>
    </row>
    <row r="32" spans="1:2" s="1592" customFormat="1">
      <c r="A32" s="1590" t="s">
        <v>1233</v>
      </c>
      <c r="B32" s="1591" t="str">
        <f ca="1">'预评函-2'!D14</f>
        <v>贰仟柒佰肆拾贰万元整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山东省济南市高新区旅游路以南、凤凰路以西A-13出让国有建设用地使用权及在建建筑物房地产</v>
      </c>
    </row>
    <row r="42" spans="1:2" s="1592" customFormat="1">
      <c r="A42" s="1590" t="s">
        <v>1280</v>
      </c>
      <c r="B42" s="1591" t="str">
        <f>'预评函-3'!B2</f>
        <v>建筑面积</v>
      </c>
    </row>
    <row r="43" spans="1:2" s="1592" customFormat="1">
      <c r="A43" s="1590" t="s">
        <v>1281</v>
      </c>
      <c r="B43" s="1591">
        <f>'预评函-3'!B4</f>
        <v>2323.5299999999997</v>
      </c>
    </row>
    <row r="44" spans="1:2" s="1592" customFormat="1">
      <c r="A44" s="1590" t="s">
        <v>1265</v>
      </c>
      <c r="B44" s="1591" t="str">
        <f>'预评函-3'!C2</f>
        <v>(分摊)土地面积</v>
      </c>
    </row>
    <row r="45" spans="1:2" s="1592" customFormat="1">
      <c r="A45" s="1590" t="s">
        <v>1237</v>
      </c>
      <c r="B45" s="1591">
        <f>'预评函-3'!C4</f>
        <v>1244.6199999999999</v>
      </c>
    </row>
    <row r="46" spans="1:2" s="1592" customFormat="1">
      <c r="A46" s="1590" t="s">
        <v>1263</v>
      </c>
      <c r="B46" s="1591" t="str">
        <f>'预评函-3'!D2</f>
        <v>出让国有建设用地使用权价值</v>
      </c>
    </row>
    <row r="47" spans="1:2" s="1592" customFormat="1">
      <c r="A47" s="1590" t="s">
        <v>1238</v>
      </c>
      <c r="B47" s="1591">
        <f ca="1">'预评函-3'!D4</f>
        <v>1988</v>
      </c>
    </row>
    <row r="48" spans="1:2" s="1592" customFormat="1">
      <c r="A48" s="1590" t="s">
        <v>1239</v>
      </c>
      <c r="B48" s="1591">
        <f ca="1">'预评函-3'!E4</f>
        <v>8556</v>
      </c>
    </row>
    <row r="49" spans="1:2" s="1592" customFormat="1">
      <c r="A49" s="1590" t="s">
        <v>1240</v>
      </c>
      <c r="B49" s="1591" t="str">
        <f ca="1">'预评函-3'!D5</f>
        <v>壹仟玖佰捌拾捌万元整</v>
      </c>
    </row>
    <row r="50" spans="1:2" s="1592" customFormat="1">
      <c r="A50" s="1590" t="s">
        <v>1264</v>
      </c>
      <c r="B50" s="1591" t="str">
        <f>'预评函-3'!F2</f>
        <v>在建建筑物价值</v>
      </c>
    </row>
    <row r="51" spans="1:2" s="1592" customFormat="1">
      <c r="A51" s="1590" t="s">
        <v>1241</v>
      </c>
      <c r="B51" s="1591">
        <f ca="1">'预评函-3'!F4</f>
        <v>754</v>
      </c>
    </row>
    <row r="52" spans="1:2" s="1592" customFormat="1">
      <c r="A52" s="1590" t="s">
        <v>1242</v>
      </c>
      <c r="B52" s="1591">
        <f ca="1">'预评函-3'!G4</f>
        <v>3245</v>
      </c>
    </row>
    <row r="53" spans="1:2" s="1592" customFormat="1">
      <c r="A53" s="1590" t="s">
        <v>1270</v>
      </c>
      <c r="B53" s="1591" t="str">
        <f ca="1">'预评函-3'!F5</f>
        <v>柒佰伍拾肆万元整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0</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4" sqref="C14"/>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3367</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3345</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3346</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3348</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t="s">
        <v>3370</v>
      </c>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高新区旅游路以南、凤凰路以西A-13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860</v>
      </c>
      <c r="C54" s="2018" t="s">
        <v>1273</v>
      </c>
    </row>
    <row r="55" spans="1:4">
      <c r="A55" s="3039"/>
      <c r="B55" s="2021" t="s">
        <v>861</v>
      </c>
      <c r="C55" s="2018" t="s">
        <v>1274</v>
      </c>
    </row>
    <row r="56" spans="1:4">
      <c r="A56" s="3039"/>
      <c r="B56" s="2021" t="s">
        <v>862</v>
      </c>
      <c r="C56" s="2018" t="s">
        <v>1278</v>
      </c>
    </row>
    <row r="57" spans="1:4">
      <c r="A57" s="3039"/>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8" t="str">
        <f>IF(B10="北京市","北京市",C10)&amp;F10&amp;IF(结果表!G1="在建","出让国有建设用地使用权及在建建筑物",IF(结果表!G1="土地","出让国有建设用地使用权",))&amp;B9&amp;"预评估"</f>
        <v>山东省济南市高新区旅游路以南、凤凰路以西A-13出让国有建设用地使用权及在建建筑物房地产抵押价值预评估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山东省济南市高新区旅游路以南、凤凰路以西A-13出让国有建设用地使用权及在建建筑物房地产抵押价值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山东省济南市高新区旅游路以南、凤凰路以西A-13出让国有建设用地使用权及在建建筑物房地产</v>
      </c>
    </row>
    <row r="3" spans="1:19" ht="18" customHeight="1">
      <c r="A3" s="2034" t="s">
        <v>1737</v>
      </c>
      <c r="B3" s="2035">
        <v>43871</v>
      </c>
      <c r="C3" s="2036" t="s">
        <v>1738</v>
      </c>
      <c r="D3" s="2035">
        <f>B3</f>
        <v>43871</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0</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郑燚（注册号：0)、崔锴（注册号：0)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51"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52"/>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3374</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v>68586</v>
      </c>
      <c r="E13" s="2077">
        <v>57629</v>
      </c>
      <c r="F13" s="2077">
        <v>61281</v>
      </c>
      <c r="G13" s="2077">
        <v>61281</v>
      </c>
      <c r="H13" s="2077"/>
      <c r="I13" s="1047"/>
      <c r="J13" s="2041"/>
      <c r="K13" s="2053"/>
      <c r="L13" s="2027"/>
      <c r="M13" s="2027"/>
      <c r="N13" s="2028"/>
      <c r="O13" s="2029"/>
      <c r="P13" s="2028"/>
      <c r="Q13" s="2028"/>
      <c r="R13" s="2028"/>
    </row>
    <row r="14" spans="1:19" ht="18" customHeight="1">
      <c r="A14" s="2074"/>
      <c r="B14" s="2075"/>
      <c r="C14" s="2076" t="s">
        <v>1758</v>
      </c>
      <c r="D14" s="1050">
        <v>70</v>
      </c>
      <c r="E14" s="1050">
        <v>40</v>
      </c>
      <c r="F14" s="1050">
        <v>50</v>
      </c>
      <c r="G14" s="1050">
        <v>50</v>
      </c>
      <c r="H14" s="1050"/>
      <c r="I14" s="1050"/>
      <c r="J14" s="2041"/>
      <c r="K14" s="2078"/>
      <c r="L14" s="2027"/>
      <c r="M14" s="2027"/>
      <c r="N14" s="2028"/>
      <c r="O14" s="2029"/>
      <c r="P14" s="2028"/>
      <c r="Q14" s="2028"/>
      <c r="R14" s="2028"/>
    </row>
    <row r="15" spans="1:19" ht="18" customHeight="1">
      <c r="A15" s="2062"/>
      <c r="B15" s="2079"/>
      <c r="C15" s="2076" t="s">
        <v>1759</v>
      </c>
      <c r="D15" s="1049">
        <f>IF(B12="出让",IF(D13="","",ROUNDDOWN(MIN((D13-$D$3)/365,D14),2)),D14)</f>
        <v>67.709999999999994</v>
      </c>
      <c r="E15" s="1049">
        <f>IF(B12="出让",IF(E13="","",ROUNDDOWN(MIN((E13-$D$3)/365,E14),2)),E14)</f>
        <v>37.69</v>
      </c>
      <c r="F15" s="1049">
        <f>IF(B12="出让",IF(F13="","",ROUNDDOWN(MIN((F13-$D$3)/365,F14),2)),F14)</f>
        <v>47.69</v>
      </c>
      <c r="G15" s="1049">
        <f>IF(B12="出让",IF(G13="","",ROUNDDOWN(MIN((G13-$D$3)/365,G14),2)),G14)</f>
        <v>47.69</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8"/>
      <c r="C16" s="3059"/>
      <c r="D16" s="3060"/>
      <c r="E16" s="2083" t="s">
        <v>1761</v>
      </c>
      <c r="F16" s="3061"/>
      <c r="G16" s="3062"/>
      <c r="H16" s="3062"/>
      <c r="I16" s="3063"/>
      <c r="J16" s="2028"/>
      <c r="K16" s="2080"/>
      <c r="L16" s="2081"/>
      <c r="M16" s="2081"/>
      <c r="N16" s="2082"/>
      <c r="O16" s="2081"/>
      <c r="P16" s="2082"/>
      <c r="Q16" s="2028"/>
      <c r="R16" s="2028"/>
    </row>
    <row r="17" spans="1:22" ht="18" customHeight="1">
      <c r="A17" s="2084" t="s">
        <v>1762</v>
      </c>
      <c r="B17" s="2034" t="s">
        <v>1763</v>
      </c>
      <c r="C17" s="1054">
        <f>'数据-汇总表'!E3</f>
        <v>2323.5299999999997</v>
      </c>
      <c r="D17" s="2085" t="s">
        <v>1764</v>
      </c>
      <c r="E17" s="3064"/>
      <c r="F17" s="3065"/>
      <c r="G17" s="3065"/>
      <c r="H17" s="3065"/>
      <c r="I17" s="3066"/>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1244.6199999999999</v>
      </c>
      <c r="D18" s="2088" t="s">
        <v>1764</v>
      </c>
      <c r="E18" s="3067"/>
      <c r="F18" s="3068"/>
      <c r="G18" s="3068"/>
      <c r="H18" s="3068"/>
      <c r="I18" s="3069"/>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54" t="s">
        <v>1771</v>
      </c>
      <c r="C20" s="3055"/>
      <c r="D20" s="3056" t="s">
        <v>1772</v>
      </c>
      <c r="E20" s="3057"/>
      <c r="F20" s="2095" t="s">
        <v>1773</v>
      </c>
      <c r="G20" s="2041"/>
      <c r="H20" s="2041"/>
      <c r="I20" s="2041"/>
      <c r="J20" s="2041"/>
      <c r="K20" s="3053"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41"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1"/>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1"/>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2"/>
      <c r="B30" s="2034" t="s">
        <v>1789</v>
      </c>
      <c r="C30" s="3043"/>
      <c r="D30" s="304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5"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6"/>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6"/>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40" t="s">
        <v>1799</v>
      </c>
      <c r="T34" s="2132" t="str">
        <f>NUMBERSTRING(7-K34,1)&amp;"通"</f>
        <v>七通</v>
      </c>
      <c r="U34" s="2028"/>
      <c r="V34" s="2028"/>
    </row>
    <row r="35" spans="1:22" ht="18" customHeight="1">
      <c r="A35" s="2133"/>
      <c r="B35" s="3047" t="s">
        <v>1800</v>
      </c>
      <c r="C35" s="3047"/>
      <c r="D35" s="3047"/>
      <c r="E35" s="3047"/>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0"/>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10229</v>
      </c>
      <c r="B3" s="14">
        <f>IF(C3="否",G5-AT5,G5)</f>
        <v>19096.05</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19096.05</v>
      </c>
      <c r="H5" s="16">
        <f t="shared" ref="H5:AT5" si="0">SUM(H13:H656)</f>
        <v>19096.05</v>
      </c>
      <c r="I5" s="16">
        <f t="shared" si="0"/>
        <v>16966.559999999998</v>
      </c>
      <c r="J5" s="16">
        <f t="shared" si="0"/>
        <v>15807.349999999999</v>
      </c>
      <c r="K5" s="16">
        <f t="shared" si="0"/>
        <v>38.83</v>
      </c>
      <c r="L5" s="16">
        <f t="shared" si="0"/>
        <v>38.83</v>
      </c>
      <c r="M5" s="16">
        <f t="shared" si="0"/>
        <v>926.34000000000015</v>
      </c>
      <c r="N5" s="16">
        <f t="shared" si="0"/>
        <v>926.34000000000015</v>
      </c>
      <c r="O5" s="16">
        <f t="shared" si="0"/>
        <v>1164.32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1836</v>
      </c>
      <c r="AW5" s="1802"/>
      <c r="AX5" s="1802"/>
      <c r="AY5" s="17" t="s">
        <v>3</v>
      </c>
      <c r="AZ5" s="18">
        <f t="shared" ref="AZ5:BT5" si="1">SUM(AZ13:AZ656)</f>
        <v>2323.5299999999997</v>
      </c>
      <c r="BA5" s="18">
        <f t="shared" si="1"/>
        <v>2323.5299999999997</v>
      </c>
      <c r="BB5" s="18">
        <f t="shared" si="1"/>
        <v>1159.21</v>
      </c>
      <c r="BC5" s="18">
        <f t="shared" si="1"/>
        <v>0</v>
      </c>
      <c r="BD5" s="18">
        <f t="shared" si="1"/>
        <v>0</v>
      </c>
      <c r="BE5" s="18">
        <f t="shared" si="1"/>
        <v>1164.32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1837</v>
      </c>
      <c r="B6" s="2172"/>
      <c r="C6" s="2172"/>
      <c r="D6" s="2173"/>
      <c r="E6" s="16">
        <f>H6+AC6+AT6</f>
        <v>10229</v>
      </c>
      <c r="F6" s="16" t="s">
        <v>1</v>
      </c>
      <c r="G6" s="16" t="s">
        <v>2</v>
      </c>
      <c r="H6" s="20">
        <f>SUMIF(I$12:AB$12,"总值",I6:AB6)</f>
        <v>10229</v>
      </c>
      <c r="I6" s="16">
        <f t="shared" ref="I6:AB6" si="2">ROUND($A$3*I5/$B$3,2)</f>
        <v>9088.32</v>
      </c>
      <c r="J6" s="16">
        <f t="shared" si="2"/>
        <v>8467.3700000000008</v>
      </c>
      <c r="K6" s="16">
        <f t="shared" si="2"/>
        <v>20.8</v>
      </c>
      <c r="L6" s="16">
        <f t="shared" si="2"/>
        <v>20.8</v>
      </c>
      <c r="M6" s="16">
        <f t="shared" si="2"/>
        <v>496.2</v>
      </c>
      <c r="N6" s="16">
        <f t="shared" si="2"/>
        <v>496.2</v>
      </c>
      <c r="O6" s="16">
        <f t="shared" si="2"/>
        <v>623.67999999999995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1244.6199999999999</v>
      </c>
      <c r="AZ6" s="16" t="s">
        <v>3</v>
      </c>
      <c r="BA6" s="16">
        <f>ROUND($AY$6*BA5/$AZ$5,2)</f>
        <v>1244.6199999999999</v>
      </c>
      <c r="BB6" s="16">
        <f>ROUND($AY$6*BB5/$AZ$5,2)</f>
        <v>620.94000000000005</v>
      </c>
      <c r="BC6" s="16">
        <f t="shared" ref="BC6:BH6" si="4">ROUND($AY$6*BC5/$AZ$5,2)</f>
        <v>0</v>
      </c>
      <c r="BD6" s="16">
        <f t="shared" si="4"/>
        <v>0</v>
      </c>
      <c r="BE6" s="16">
        <f t="shared" si="4"/>
        <v>623.67999999999995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3028</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3365</v>
      </c>
      <c r="J10" s="981"/>
      <c r="K10" s="2195" t="s">
        <v>1369</v>
      </c>
      <c r="L10" s="981"/>
      <c r="M10" s="2195" t="s">
        <v>3368</v>
      </c>
      <c r="N10" s="981"/>
      <c r="O10" s="2195" t="s">
        <v>3025</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3366</v>
      </c>
      <c r="J11" s="2201"/>
      <c r="K11" s="2200" t="s">
        <v>3002</v>
      </c>
      <c r="L11" s="2201"/>
      <c r="M11" s="2200" t="s">
        <v>3369</v>
      </c>
      <c r="N11" s="2201"/>
      <c r="O11" s="2200" t="s">
        <v>3004</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t="str">
        <f>K10</f>
        <v>商业</v>
      </c>
      <c r="BD11" s="2185" t="str">
        <f>M10</f>
        <v>仓储</v>
      </c>
      <c r="BE11" s="2185" t="str">
        <f>O10</f>
        <v>车库</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小高层</v>
      </c>
      <c r="BC12" s="2210" t="str">
        <f>K11</f>
        <v>商业用房</v>
      </c>
      <c r="BD12" s="2210" t="str">
        <f>M11</f>
        <v>库房</v>
      </c>
      <c r="BE12" s="2185" t="str">
        <f>O11</f>
        <v>地下车库用房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f>I13/B13</f>
        <v>217.37423076923076</v>
      </c>
      <c r="B13" s="1272">
        <v>26</v>
      </c>
      <c r="C13" s="1272" t="s">
        <v>3361</v>
      </c>
      <c r="D13" s="2211" t="s">
        <v>3023</v>
      </c>
      <c r="E13" s="16">
        <f>IF($C$3="是",ROUND($A$3*G13/$B$3,2),ROUND($A$3*(G13-AT13)/$B$3,2))</f>
        <v>3195.47</v>
      </c>
      <c r="F13" s="32"/>
      <c r="G13" s="33">
        <f>H13+AC13+AT13</f>
        <v>5965.4699999999993</v>
      </c>
      <c r="H13" s="20">
        <f>SUMIF(I$12:AB$12,"总值",I13:AB13)</f>
        <v>5965.4699999999993</v>
      </c>
      <c r="I13" s="2212">
        <v>5651.73</v>
      </c>
      <c r="J13" s="2212">
        <f>I13-365.43</f>
        <v>5286.2999999999993</v>
      </c>
      <c r="K13" s="2212">
        <v>38.83</v>
      </c>
      <c r="L13" s="2212">
        <f>K13</f>
        <v>38.83</v>
      </c>
      <c r="M13" s="2212">
        <v>274.91000000000003</v>
      </c>
      <c r="N13" s="2212">
        <f>M13</f>
        <v>274.91000000000003</v>
      </c>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217.37423076923076</v>
      </c>
      <c r="AW13" s="11">
        <f t="shared" si="6"/>
        <v>26</v>
      </c>
      <c r="AX13" s="11" t="str">
        <f t="shared" si="6"/>
        <v>1#楼</v>
      </c>
      <c r="AY13" s="1805">
        <f>ROUND($AY$6*AZ13/$AZ$5,2)</f>
        <v>195.75</v>
      </c>
      <c r="AZ13" s="16">
        <f>BA13+BL13</f>
        <v>365.43000000000029</v>
      </c>
      <c r="BA13" s="16">
        <f>SUM(BB13:BK13)</f>
        <v>365.43000000000029</v>
      </c>
      <c r="BB13" s="16">
        <f>IF($D13="是",I13-J13,0)</f>
        <v>365.43000000000029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f t="shared" ref="A14:A15" si="7">I14/B14</f>
        <v>217.55384615384614</v>
      </c>
      <c r="B14" s="1272">
        <v>26</v>
      </c>
      <c r="C14" s="1272" t="s">
        <v>3362</v>
      </c>
      <c r="D14" s="2211" t="s">
        <v>3023</v>
      </c>
      <c r="E14" s="16">
        <f>IF($C$3="是",ROUND($A$3*G14/$B$3,2),ROUND($A$3*(G14-AT14)/$B$3,2))</f>
        <v>3206.95</v>
      </c>
      <c r="F14" s="32"/>
      <c r="G14" s="33">
        <f>H14+AC14+AT14</f>
        <v>5986.91</v>
      </c>
      <c r="H14" s="20">
        <f>SUMIF(I$12:AB$12,"总值",I14:AB14)</f>
        <v>5986.91</v>
      </c>
      <c r="I14" s="2212">
        <v>5656.4</v>
      </c>
      <c r="J14" s="2212">
        <f>I14-396.82</f>
        <v>5259.58</v>
      </c>
      <c r="K14" s="2212"/>
      <c r="L14" s="2212"/>
      <c r="M14" s="2212">
        <v>330.51</v>
      </c>
      <c r="N14" s="2212">
        <f>M14</f>
        <v>330.51</v>
      </c>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217.55384615384614</v>
      </c>
      <c r="AW14" s="11">
        <f t="shared" si="6"/>
        <v>26</v>
      </c>
      <c r="AX14" s="11" t="str">
        <f t="shared" si="6"/>
        <v>2#楼</v>
      </c>
      <c r="AY14" s="1805">
        <f>ROUND($AY$6*AZ14/$AZ$5,2)</f>
        <v>212.56</v>
      </c>
      <c r="AZ14" s="16">
        <f>BA14+BL14</f>
        <v>396.81999999999971</v>
      </c>
      <c r="BA14" s="16">
        <f>SUM(BB14:BK14)</f>
        <v>396.81999999999971</v>
      </c>
      <c r="BB14" s="16">
        <f>IF($D14="是",I14-J14,0)</f>
        <v>396.81999999999971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f t="shared" si="7"/>
        <v>217.6319230769231</v>
      </c>
      <c r="B15" s="1272">
        <v>26</v>
      </c>
      <c r="C15" s="1272" t="s">
        <v>3363</v>
      </c>
      <c r="D15" s="2211" t="s">
        <v>3023</v>
      </c>
      <c r="E15" s="16">
        <f>IF($C$3="是",ROUND($A$3*G15/$B$3,2),ROUND($A$3*(G15-AT15)/$B$3,2))</f>
        <v>3202.9</v>
      </c>
      <c r="F15" s="32"/>
      <c r="G15" s="33">
        <f>H15+AC15+AT15</f>
        <v>5979.35</v>
      </c>
      <c r="H15" s="20">
        <f>SUMIF(I$12:AB$12,"总值",I15:AB15)</f>
        <v>5979.35</v>
      </c>
      <c r="I15" s="2212">
        <v>5658.43</v>
      </c>
      <c r="J15" s="2212">
        <f>I15-396.96</f>
        <v>5261.47</v>
      </c>
      <c r="K15" s="2212"/>
      <c r="L15" s="2212"/>
      <c r="M15" s="2212">
        <v>320.92</v>
      </c>
      <c r="N15" s="2212">
        <f>M15</f>
        <v>320.92</v>
      </c>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217.6319230769231</v>
      </c>
      <c r="AW15" s="11">
        <f t="shared" si="6"/>
        <v>26</v>
      </c>
      <c r="AX15" s="11" t="str">
        <f t="shared" si="6"/>
        <v>3#楼</v>
      </c>
      <c r="AY15" s="1805">
        <f>ROUND($AY$6*AZ15/$AZ$5,2)</f>
        <v>212.64</v>
      </c>
      <c r="AZ15" s="16">
        <f>BA15+BL15</f>
        <v>396.96000000000004</v>
      </c>
      <c r="BA15" s="16">
        <f>SUM(BB15:BK15)</f>
        <v>396.96000000000004</v>
      </c>
      <c r="BB15" s="16">
        <f>IF($D15="是",I15-J15,0)</f>
        <v>396.96000000000004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f>O16/B16</f>
        <v>22.39076923076923</v>
      </c>
      <c r="B16" s="1272">
        <v>52</v>
      </c>
      <c r="C16" s="1272" t="s">
        <v>3364</v>
      </c>
      <c r="D16" s="2211" t="s">
        <v>3023</v>
      </c>
      <c r="E16" s="16">
        <f>IF($C$3="是",ROUND($A$3*G16/$B$3,2),ROUND($A$3*(G16-AT16)/$B$3,2))</f>
        <v>623.67999999999995</v>
      </c>
      <c r="F16" s="32"/>
      <c r="G16" s="33">
        <f>H16+AC16+AT16</f>
        <v>1164.32</v>
      </c>
      <c r="H16" s="20">
        <f>SUMIF(I$12:AB$12,"总值",I16:AB16)</f>
        <v>1164.32</v>
      </c>
      <c r="I16" s="2212"/>
      <c r="J16" s="2212"/>
      <c r="K16" s="2212"/>
      <c r="L16" s="2212"/>
      <c r="M16" s="2212"/>
      <c r="N16" s="2212"/>
      <c r="O16" s="2212">
        <v>1164.32</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22.39076923076923</v>
      </c>
      <c r="AW16" s="11">
        <f t="shared" si="6"/>
        <v>52</v>
      </c>
      <c r="AX16" s="11" t="str">
        <f t="shared" si="6"/>
        <v>地下车库</v>
      </c>
      <c r="AY16" s="1805">
        <f>ROUND($AY$6*AZ16/$AZ$5,2)</f>
        <v>623.67999999999995</v>
      </c>
      <c r="AZ16" s="16">
        <f>BA16+BL16</f>
        <v>1164.32</v>
      </c>
      <c r="BA16" s="16">
        <f>SUM(BB16:BK16)</f>
        <v>1164.32</v>
      </c>
      <c r="BB16" s="16">
        <f>IF($D16="是",I16-J16,0)</f>
        <v>0</v>
      </c>
      <c r="BC16" s="16">
        <f>IF($D16="是",K16-L16,0)</f>
        <v>0</v>
      </c>
      <c r="BD16" s="16">
        <f>IF($D16="是",M16-N16,0)</f>
        <v>0</v>
      </c>
      <c r="BE16" s="16">
        <f>IF($D16="是",O16-P16,0)</f>
        <v>1164.32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2994" t="s">
        <v>3371</v>
      </c>
      <c r="C17" s="1272"/>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t="str">
        <f t="shared" si="6"/>
        <v>套</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9"/>
      <c r="B18" s="34"/>
      <c r="C18" s="2945"/>
      <c r="D18" s="2211"/>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2">A18</f>
        <v>0</v>
      </c>
      <c r="AW18" s="1794">
        <f t="shared" ref="AW18:AW112" si="13">B18</f>
        <v>0</v>
      </c>
      <c r="AX18" s="1794">
        <f t="shared" ref="AX18:AX112" si="14">C18</f>
        <v>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34"/>
      <c r="C19" s="34"/>
      <c r="D19" s="2216"/>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7"/>
      <c r="AV19" s="1794">
        <f t="shared" si="12"/>
        <v>0</v>
      </c>
      <c r="AW19" s="1794">
        <f t="shared" si="13"/>
        <v>0</v>
      </c>
      <c r="AX19" s="1794">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6"/>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7"/>
      <c r="AV20" s="1794">
        <f t="shared" si="12"/>
        <v>0</v>
      </c>
      <c r="AW20" s="1794">
        <f t="shared" si="13"/>
        <v>0</v>
      </c>
      <c r="AX20" s="1794">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6"/>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7"/>
      <c r="AV21" s="1794">
        <f t="shared" si="12"/>
        <v>0</v>
      </c>
      <c r="AW21" s="1794">
        <f t="shared" si="13"/>
        <v>0</v>
      </c>
      <c r="AX21" s="1794">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6"/>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7"/>
      <c r="AV22" s="1794">
        <f t="shared" si="12"/>
        <v>0</v>
      </c>
      <c r="AW22" s="1794">
        <f t="shared" si="13"/>
        <v>0</v>
      </c>
      <c r="AX22" s="1794">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41"/>
      <c r="C23" s="34"/>
      <c r="D23" s="2216"/>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7"/>
      <c r="AV23" s="1794">
        <f t="shared" si="12"/>
        <v>0</v>
      </c>
      <c r="AW23" s="1794">
        <f t="shared" si="13"/>
        <v>0</v>
      </c>
      <c r="AX23" s="1794">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41"/>
      <c r="C24" s="34"/>
      <c r="D24" s="2216"/>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7"/>
      <c r="AV24" s="1794">
        <f t="shared" si="12"/>
        <v>0</v>
      </c>
      <c r="AW24" s="1794">
        <f t="shared" si="13"/>
        <v>0</v>
      </c>
      <c r="AX24" s="1794">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41"/>
      <c r="C25" s="34"/>
      <c r="D25" s="2216"/>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7"/>
      <c r="AV25" s="1794">
        <f t="shared" si="12"/>
        <v>0</v>
      </c>
      <c r="AW25" s="1794">
        <f t="shared" si="13"/>
        <v>0</v>
      </c>
      <c r="AX25" s="1794">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6"/>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7"/>
      <c r="AV26" s="1794">
        <f t="shared" si="12"/>
        <v>0</v>
      </c>
      <c r="AW26" s="1794">
        <f t="shared" si="13"/>
        <v>0</v>
      </c>
      <c r="AX26" s="1794">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6"/>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7"/>
      <c r="AV27" s="1794">
        <f t="shared" si="12"/>
        <v>0</v>
      </c>
      <c r="AW27" s="1794">
        <f t="shared" si="13"/>
        <v>0</v>
      </c>
      <c r="AX27" s="1794">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6"/>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7"/>
      <c r="AV28" s="1794">
        <f t="shared" si="12"/>
        <v>0</v>
      </c>
      <c r="AW28" s="1794">
        <f t="shared" si="13"/>
        <v>0</v>
      </c>
      <c r="AX28" s="1794">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6"/>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7"/>
      <c r="AV29" s="1794">
        <f t="shared" si="12"/>
        <v>0</v>
      </c>
      <c r="AW29" s="1794">
        <f t="shared" si="13"/>
        <v>0</v>
      </c>
      <c r="AX29" s="1794">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6"/>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7"/>
      <c r="AV30" s="1794">
        <f t="shared" si="12"/>
        <v>0</v>
      </c>
      <c r="AW30" s="1794">
        <f t="shared" si="13"/>
        <v>0</v>
      </c>
      <c r="AX30" s="1794">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6"/>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7"/>
      <c r="AV31" s="1794">
        <f t="shared" si="12"/>
        <v>0</v>
      </c>
      <c r="AW31" s="1794">
        <f t="shared" si="13"/>
        <v>0</v>
      </c>
      <c r="AX31" s="1794">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6"/>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7"/>
      <c r="AV32" s="1794">
        <f t="shared" si="12"/>
        <v>0</v>
      </c>
      <c r="AW32" s="1794">
        <f t="shared" si="13"/>
        <v>0</v>
      </c>
      <c r="AX32" s="1794">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6"/>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7"/>
      <c r="AV33" s="1794">
        <f t="shared" si="12"/>
        <v>0</v>
      </c>
      <c r="AW33" s="1794">
        <f t="shared" si="13"/>
        <v>0</v>
      </c>
      <c r="AX33" s="1794">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6"/>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7"/>
      <c r="AV34" s="1794">
        <f t="shared" si="12"/>
        <v>0</v>
      </c>
      <c r="AW34" s="1794">
        <f t="shared" si="13"/>
        <v>0</v>
      </c>
      <c r="AX34" s="1794">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6"/>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7"/>
      <c r="AV35" s="1794">
        <f t="shared" si="12"/>
        <v>0</v>
      </c>
      <c r="AW35" s="1794">
        <f t="shared" si="13"/>
        <v>0</v>
      </c>
      <c r="AX35" s="1794">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6"/>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7"/>
      <c r="AV36" s="1794">
        <f t="shared" si="12"/>
        <v>0</v>
      </c>
      <c r="AW36" s="1794">
        <f t="shared" si="13"/>
        <v>0</v>
      </c>
      <c r="AX36" s="1794">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6"/>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7"/>
      <c r="AV37" s="1794">
        <f t="shared" si="12"/>
        <v>0</v>
      </c>
      <c r="AW37" s="1794">
        <f t="shared" si="13"/>
        <v>0</v>
      </c>
      <c r="AX37" s="1794">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6"/>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7"/>
      <c r="AV38" s="1794">
        <f t="shared" si="12"/>
        <v>0</v>
      </c>
      <c r="AW38" s="1794">
        <f t="shared" si="13"/>
        <v>0</v>
      </c>
      <c r="AX38" s="1794">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6"/>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7"/>
      <c r="AV39" s="1794">
        <f t="shared" si="12"/>
        <v>0</v>
      </c>
      <c r="AW39" s="1794">
        <f t="shared" si="13"/>
        <v>0</v>
      </c>
      <c r="AX39" s="1794">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6"/>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7"/>
      <c r="AV40" s="1794">
        <f t="shared" si="12"/>
        <v>0</v>
      </c>
      <c r="AW40" s="1794">
        <f t="shared" si="13"/>
        <v>0</v>
      </c>
      <c r="AX40" s="1794">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6"/>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7"/>
      <c r="AV41" s="1794">
        <f t="shared" si="12"/>
        <v>0</v>
      </c>
      <c r="AW41" s="1794">
        <f t="shared" si="13"/>
        <v>0</v>
      </c>
      <c r="AX41" s="1794">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6"/>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7"/>
      <c r="AV42" s="1794">
        <f t="shared" si="12"/>
        <v>0</v>
      </c>
      <c r="AW42" s="1794">
        <f t="shared" si="13"/>
        <v>0</v>
      </c>
      <c r="AX42" s="1794">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6"/>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7"/>
      <c r="AV43" s="1794">
        <f t="shared" si="12"/>
        <v>0</v>
      </c>
      <c r="AW43" s="1794">
        <f t="shared" si="13"/>
        <v>0</v>
      </c>
      <c r="AX43" s="1794">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6"/>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7"/>
      <c r="AV44" s="1794">
        <f t="shared" si="12"/>
        <v>0</v>
      </c>
      <c r="AW44" s="1794">
        <f t="shared" si="13"/>
        <v>0</v>
      </c>
      <c r="AX44" s="1794">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6"/>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7"/>
      <c r="AV45" s="1794">
        <f t="shared" si="12"/>
        <v>0</v>
      </c>
      <c r="AW45" s="1794">
        <f t="shared" si="13"/>
        <v>0</v>
      </c>
      <c r="AX45" s="1794">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6"/>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7"/>
      <c r="AV46" s="1794">
        <f t="shared" si="12"/>
        <v>0</v>
      </c>
      <c r="AW46" s="1794">
        <f t="shared" si="13"/>
        <v>0</v>
      </c>
      <c r="AX46" s="1794">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6"/>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7"/>
      <c r="AV47" s="1794">
        <f t="shared" si="12"/>
        <v>0</v>
      </c>
      <c r="AW47" s="1794">
        <f t="shared" si="13"/>
        <v>0</v>
      </c>
      <c r="AX47" s="1794">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6"/>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7"/>
      <c r="AV48" s="1794">
        <f t="shared" si="12"/>
        <v>0</v>
      </c>
      <c r="AW48" s="1794">
        <f t="shared" si="13"/>
        <v>0</v>
      </c>
      <c r="AX48" s="1794">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6"/>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7"/>
      <c r="AV49" s="1794">
        <f t="shared" si="12"/>
        <v>0</v>
      </c>
      <c r="AW49" s="1794">
        <f t="shared" si="13"/>
        <v>0</v>
      </c>
      <c r="AX49" s="1794">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6"/>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7"/>
      <c r="AV50" s="1794">
        <f t="shared" si="12"/>
        <v>0</v>
      </c>
      <c r="AW50" s="1794">
        <f t="shared" si="13"/>
        <v>0</v>
      </c>
      <c r="AX50" s="1794">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6"/>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7"/>
      <c r="AV51" s="1794">
        <f t="shared" si="12"/>
        <v>0</v>
      </c>
      <c r="AW51" s="1794">
        <f t="shared" si="13"/>
        <v>0</v>
      </c>
      <c r="AX51" s="1794">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6"/>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7"/>
      <c r="AV52" s="1794">
        <f t="shared" si="12"/>
        <v>0</v>
      </c>
      <c r="AW52" s="1794">
        <f t="shared" si="13"/>
        <v>0</v>
      </c>
      <c r="AX52" s="1794">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6"/>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7"/>
      <c r="AV53" s="1794">
        <f t="shared" si="12"/>
        <v>0</v>
      </c>
      <c r="AW53" s="1794">
        <f t="shared" si="13"/>
        <v>0</v>
      </c>
      <c r="AX53" s="1794">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6"/>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7"/>
      <c r="AV54" s="1794">
        <f t="shared" si="12"/>
        <v>0</v>
      </c>
      <c r="AW54" s="1794">
        <f t="shared" si="13"/>
        <v>0</v>
      </c>
      <c r="AX54" s="1794">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6"/>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7"/>
      <c r="AV55" s="1794">
        <f t="shared" si="12"/>
        <v>0</v>
      </c>
      <c r="AW55" s="1794">
        <f t="shared" si="13"/>
        <v>0</v>
      </c>
      <c r="AX55" s="1794">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6"/>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7"/>
      <c r="AV56" s="1794">
        <f t="shared" si="12"/>
        <v>0</v>
      </c>
      <c r="AW56" s="1794">
        <f t="shared" si="13"/>
        <v>0</v>
      </c>
      <c r="AX56" s="1794">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6"/>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7"/>
      <c r="AV57" s="1794">
        <f t="shared" si="12"/>
        <v>0</v>
      </c>
      <c r="AW57" s="1794">
        <f t="shared" si="13"/>
        <v>0</v>
      </c>
      <c r="AX57" s="1794">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6"/>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7"/>
      <c r="AV58" s="1794">
        <f t="shared" si="12"/>
        <v>0</v>
      </c>
      <c r="AW58" s="1794">
        <f t="shared" si="13"/>
        <v>0</v>
      </c>
      <c r="AX58" s="1794">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6"/>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7"/>
      <c r="AV59" s="1794">
        <f t="shared" si="12"/>
        <v>0</v>
      </c>
      <c r="AW59" s="1794">
        <f t="shared" si="13"/>
        <v>0</v>
      </c>
      <c r="AX59" s="1794">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6"/>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7"/>
      <c r="AV60" s="1794">
        <f t="shared" si="12"/>
        <v>0</v>
      </c>
      <c r="AW60" s="1794">
        <f t="shared" si="13"/>
        <v>0</v>
      </c>
      <c r="AX60" s="1794">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6"/>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7"/>
      <c r="AV61" s="1794">
        <f t="shared" si="12"/>
        <v>0</v>
      </c>
      <c r="AW61" s="1794">
        <f t="shared" si="13"/>
        <v>0</v>
      </c>
      <c r="AX61" s="1794">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6"/>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7"/>
      <c r="AV62" s="1794">
        <f t="shared" si="12"/>
        <v>0</v>
      </c>
      <c r="AW62" s="1794">
        <f t="shared" si="13"/>
        <v>0</v>
      </c>
      <c r="AX62" s="1794">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6"/>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7"/>
      <c r="AV63" s="1794">
        <f t="shared" si="12"/>
        <v>0</v>
      </c>
      <c r="AW63" s="1794">
        <f t="shared" si="13"/>
        <v>0</v>
      </c>
      <c r="AX63" s="1794">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6"/>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7"/>
      <c r="AV64" s="1794">
        <f t="shared" si="12"/>
        <v>0</v>
      </c>
      <c r="AW64" s="1794">
        <f t="shared" si="13"/>
        <v>0</v>
      </c>
      <c r="AX64" s="1794">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6"/>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7"/>
      <c r="AV65" s="1794">
        <f t="shared" si="12"/>
        <v>0</v>
      </c>
      <c r="AW65" s="1794">
        <f t="shared" si="13"/>
        <v>0</v>
      </c>
      <c r="AX65" s="1794">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6"/>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7"/>
      <c r="AV66" s="1794">
        <f t="shared" si="12"/>
        <v>0</v>
      </c>
      <c r="AW66" s="1794">
        <f t="shared" si="13"/>
        <v>0</v>
      </c>
      <c r="AX66" s="1794">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6"/>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7"/>
      <c r="AV67" s="1794">
        <f t="shared" si="12"/>
        <v>0</v>
      </c>
      <c r="AW67" s="1794">
        <f t="shared" si="13"/>
        <v>0</v>
      </c>
      <c r="AX67" s="1794">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6"/>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7"/>
      <c r="AV68" s="1794">
        <f t="shared" si="12"/>
        <v>0</v>
      </c>
      <c r="AW68" s="1794">
        <f t="shared" si="13"/>
        <v>0</v>
      </c>
      <c r="AX68" s="1794">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6"/>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7"/>
      <c r="AV69" s="1794">
        <f t="shared" si="12"/>
        <v>0</v>
      </c>
      <c r="AW69" s="1794">
        <f t="shared" si="13"/>
        <v>0</v>
      </c>
      <c r="AX69" s="1794">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6"/>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7"/>
      <c r="AV70" s="1794">
        <f t="shared" si="12"/>
        <v>0</v>
      </c>
      <c r="AW70" s="1794">
        <f t="shared" si="13"/>
        <v>0</v>
      </c>
      <c r="AX70" s="1794">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6"/>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7"/>
      <c r="AV71" s="1794">
        <f t="shared" si="12"/>
        <v>0</v>
      </c>
      <c r="AW71" s="1794">
        <f t="shared" si="13"/>
        <v>0</v>
      </c>
      <c r="AX71" s="1794">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6"/>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7"/>
      <c r="AV72" s="1794">
        <f t="shared" si="12"/>
        <v>0</v>
      </c>
      <c r="AW72" s="1794">
        <f t="shared" si="13"/>
        <v>0</v>
      </c>
      <c r="AX72" s="1794">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6"/>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7"/>
      <c r="AV73" s="1794">
        <f t="shared" si="12"/>
        <v>0</v>
      </c>
      <c r="AW73" s="1794">
        <f t="shared" si="13"/>
        <v>0</v>
      </c>
      <c r="AX73" s="1794">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6"/>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7"/>
      <c r="AV74" s="1794">
        <f t="shared" si="12"/>
        <v>0</v>
      </c>
      <c r="AW74" s="1794">
        <f t="shared" si="13"/>
        <v>0</v>
      </c>
      <c r="AX74" s="1794">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6"/>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7"/>
      <c r="AV75" s="1794">
        <f t="shared" si="12"/>
        <v>0</v>
      </c>
      <c r="AW75" s="1794">
        <f t="shared" si="13"/>
        <v>0</v>
      </c>
      <c r="AX75" s="1794">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6"/>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7"/>
      <c r="AV76" s="1794">
        <f t="shared" si="12"/>
        <v>0</v>
      </c>
      <c r="AW76" s="1794">
        <f t="shared" si="13"/>
        <v>0</v>
      </c>
      <c r="AX76" s="1794">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6"/>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7"/>
      <c r="AV77" s="1794">
        <f t="shared" si="12"/>
        <v>0</v>
      </c>
      <c r="AW77" s="1794">
        <f t="shared" si="13"/>
        <v>0</v>
      </c>
      <c r="AX77" s="1794">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6"/>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7"/>
      <c r="AV78" s="1794">
        <f t="shared" si="12"/>
        <v>0</v>
      </c>
      <c r="AW78" s="1794">
        <f t="shared" si="13"/>
        <v>0</v>
      </c>
      <c r="AX78" s="1794">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6"/>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7"/>
      <c r="AV79" s="1794">
        <f t="shared" si="12"/>
        <v>0</v>
      </c>
      <c r="AW79" s="1794">
        <f t="shared" si="13"/>
        <v>0</v>
      </c>
      <c r="AX79" s="1794">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6"/>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7"/>
      <c r="AV80" s="1794">
        <f t="shared" si="12"/>
        <v>0</v>
      </c>
      <c r="AW80" s="1794">
        <f t="shared" si="13"/>
        <v>0</v>
      </c>
      <c r="AX80" s="1794">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6"/>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7"/>
      <c r="AV81" s="1794">
        <f t="shared" si="12"/>
        <v>0</v>
      </c>
      <c r="AW81" s="1794">
        <f t="shared" si="13"/>
        <v>0</v>
      </c>
      <c r="AX81" s="1794">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6"/>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7"/>
      <c r="AV82" s="1794">
        <f t="shared" si="12"/>
        <v>0</v>
      </c>
      <c r="AW82" s="1794">
        <f t="shared" si="13"/>
        <v>0</v>
      </c>
      <c r="AX82" s="1794">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6"/>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7"/>
      <c r="AV83" s="1794">
        <f t="shared" si="12"/>
        <v>0</v>
      </c>
      <c r="AW83" s="1794">
        <f t="shared" si="13"/>
        <v>0</v>
      </c>
      <c r="AX83" s="1794">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6"/>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7"/>
      <c r="AV84" s="1794">
        <f t="shared" si="12"/>
        <v>0</v>
      </c>
      <c r="AW84" s="1794">
        <f t="shared" si="13"/>
        <v>0</v>
      </c>
      <c r="AX84" s="1794">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6"/>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7"/>
      <c r="AV85" s="1794">
        <f t="shared" si="12"/>
        <v>0</v>
      </c>
      <c r="AW85" s="1794">
        <f t="shared" si="13"/>
        <v>0</v>
      </c>
      <c r="AX85" s="1794">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6"/>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7"/>
      <c r="AV86" s="1794">
        <f t="shared" si="12"/>
        <v>0</v>
      </c>
      <c r="AW86" s="1794">
        <f t="shared" si="13"/>
        <v>0</v>
      </c>
      <c r="AX86" s="1794">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6"/>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7"/>
      <c r="AV87" s="1794">
        <f t="shared" si="12"/>
        <v>0</v>
      </c>
      <c r="AW87" s="1794">
        <f t="shared" si="13"/>
        <v>0</v>
      </c>
      <c r="AX87" s="1794">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6"/>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7"/>
      <c r="AV88" s="1794">
        <f t="shared" si="12"/>
        <v>0</v>
      </c>
      <c r="AW88" s="1794">
        <f t="shared" si="13"/>
        <v>0</v>
      </c>
      <c r="AX88" s="1794">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6"/>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7"/>
      <c r="AV89" s="1794">
        <f t="shared" si="12"/>
        <v>0</v>
      </c>
      <c r="AW89" s="1794">
        <f t="shared" si="13"/>
        <v>0</v>
      </c>
      <c r="AX89" s="1794">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6"/>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7"/>
      <c r="AV90" s="1794">
        <f t="shared" si="12"/>
        <v>0</v>
      </c>
      <c r="AW90" s="1794">
        <f t="shared" si="13"/>
        <v>0</v>
      </c>
      <c r="AX90" s="1794">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6"/>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7"/>
      <c r="AV91" s="1794">
        <f t="shared" si="12"/>
        <v>0</v>
      </c>
      <c r="AW91" s="1794">
        <f t="shared" si="13"/>
        <v>0</v>
      </c>
      <c r="AX91" s="1794">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6"/>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7"/>
      <c r="AV92" s="1794">
        <f t="shared" si="12"/>
        <v>0</v>
      </c>
      <c r="AW92" s="1794">
        <f t="shared" si="13"/>
        <v>0</v>
      </c>
      <c r="AX92" s="1794">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6"/>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7"/>
      <c r="AV93" s="1794">
        <f t="shared" si="12"/>
        <v>0</v>
      </c>
      <c r="AW93" s="1794">
        <f t="shared" si="13"/>
        <v>0</v>
      </c>
      <c r="AX93" s="1794">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6"/>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7"/>
      <c r="AV94" s="1794">
        <f t="shared" si="12"/>
        <v>0</v>
      </c>
      <c r="AW94" s="1794">
        <f t="shared" si="13"/>
        <v>0</v>
      </c>
      <c r="AX94" s="1794">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6"/>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7"/>
      <c r="AV95" s="1794">
        <f t="shared" si="12"/>
        <v>0</v>
      </c>
      <c r="AW95" s="1794">
        <f t="shared" si="13"/>
        <v>0</v>
      </c>
      <c r="AX95" s="1794">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6"/>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7"/>
      <c r="AV96" s="1794">
        <f t="shared" si="12"/>
        <v>0</v>
      </c>
      <c r="AW96" s="1794">
        <f t="shared" si="13"/>
        <v>0</v>
      </c>
      <c r="AX96" s="1794">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6"/>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7"/>
      <c r="AV97" s="1794">
        <f t="shared" si="12"/>
        <v>0</v>
      </c>
      <c r="AW97" s="1794">
        <f t="shared" si="13"/>
        <v>0</v>
      </c>
      <c r="AX97" s="1794">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6"/>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7"/>
      <c r="AV98" s="1794">
        <f t="shared" si="12"/>
        <v>0</v>
      </c>
      <c r="AW98" s="1794">
        <f t="shared" si="13"/>
        <v>0</v>
      </c>
      <c r="AX98" s="1794">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6"/>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7"/>
      <c r="AV99" s="1794">
        <f t="shared" si="12"/>
        <v>0</v>
      </c>
      <c r="AW99" s="1794">
        <f t="shared" si="13"/>
        <v>0</v>
      </c>
      <c r="AX99" s="1794">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6"/>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7"/>
      <c r="AV100" s="1794">
        <f t="shared" si="12"/>
        <v>0</v>
      </c>
      <c r="AW100" s="1794">
        <f t="shared" si="13"/>
        <v>0</v>
      </c>
      <c r="AX100" s="1794">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6"/>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7"/>
      <c r="AV101" s="1794">
        <f t="shared" si="12"/>
        <v>0</v>
      </c>
      <c r="AW101" s="1794">
        <f t="shared" si="13"/>
        <v>0</v>
      </c>
      <c r="AX101" s="1794">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6"/>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7"/>
      <c r="AV102" s="1794">
        <f t="shared" si="12"/>
        <v>0</v>
      </c>
      <c r="AW102" s="1794">
        <f t="shared" si="13"/>
        <v>0</v>
      </c>
      <c r="AX102" s="1794">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6"/>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7"/>
      <c r="AV103" s="1794">
        <f t="shared" si="12"/>
        <v>0</v>
      </c>
      <c r="AW103" s="1794">
        <f t="shared" si="13"/>
        <v>0</v>
      </c>
      <c r="AX103" s="1794">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6"/>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7"/>
      <c r="AV104" s="1794">
        <f t="shared" si="12"/>
        <v>0</v>
      </c>
      <c r="AW104" s="1794">
        <f t="shared" si="13"/>
        <v>0</v>
      </c>
      <c r="AX104" s="1794">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6"/>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7"/>
      <c r="AV105" s="1794">
        <f t="shared" si="12"/>
        <v>0</v>
      </c>
      <c r="AW105" s="1794">
        <f t="shared" si="13"/>
        <v>0</v>
      </c>
      <c r="AX105" s="1794">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6"/>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7"/>
      <c r="AV106" s="1794">
        <f t="shared" si="12"/>
        <v>0</v>
      </c>
      <c r="AW106" s="1794">
        <f t="shared" si="13"/>
        <v>0</v>
      </c>
      <c r="AX106" s="1794">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6"/>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7"/>
      <c r="AV107" s="1794">
        <f t="shared" si="12"/>
        <v>0</v>
      </c>
      <c r="AW107" s="1794">
        <f t="shared" si="13"/>
        <v>0</v>
      </c>
      <c r="AX107" s="1794">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6"/>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7"/>
      <c r="AV108" s="1794">
        <f t="shared" si="12"/>
        <v>0</v>
      </c>
      <c r="AW108" s="1794">
        <f t="shared" si="13"/>
        <v>0</v>
      </c>
      <c r="AX108" s="1794">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6"/>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7"/>
      <c r="AV109" s="1794">
        <f t="shared" si="12"/>
        <v>0</v>
      </c>
      <c r="AW109" s="1794">
        <f t="shared" si="13"/>
        <v>0</v>
      </c>
      <c r="AX109" s="1794">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6"/>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2"/>
        <v>0</v>
      </c>
      <c r="AW110" s="1794">
        <f t="shared" si="13"/>
        <v>0</v>
      </c>
      <c r="AX110" s="1794">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6"/>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2"/>
      <c r="AV111" s="1794">
        <f t="shared" si="12"/>
        <v>0</v>
      </c>
      <c r="AW111" s="1794">
        <f t="shared" si="13"/>
        <v>0</v>
      </c>
      <c r="AX111" s="1794">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6"/>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2"/>
      <c r="AV112" s="1794">
        <f t="shared" si="12"/>
        <v>0</v>
      </c>
      <c r="AW112" s="1794">
        <f t="shared" si="13"/>
        <v>0</v>
      </c>
      <c r="AX112" s="1794">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3">A113</f>
        <v>0</v>
      </c>
      <c r="AW113" s="1794">
        <f t="shared" ref="AW113:AW144" si="64">B113</f>
        <v>0</v>
      </c>
      <c r="AX113" s="1794">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7"/>
      <c r="AV114" s="1794">
        <f t="shared" si="63"/>
        <v>0</v>
      </c>
      <c r="AW114" s="1794">
        <f t="shared" si="64"/>
        <v>0</v>
      </c>
      <c r="AX114" s="1794">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7"/>
      <c r="AV115" s="1794">
        <f t="shared" si="63"/>
        <v>0</v>
      </c>
      <c r="AW115" s="1794">
        <f t="shared" si="64"/>
        <v>0</v>
      </c>
      <c r="AX115" s="1794">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7"/>
      <c r="AV116" s="1794">
        <f t="shared" si="63"/>
        <v>0</v>
      </c>
      <c r="AW116" s="1794">
        <f t="shared" si="64"/>
        <v>0</v>
      </c>
      <c r="AX116" s="1794">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7"/>
      <c r="AV117" s="1794">
        <f t="shared" si="63"/>
        <v>0</v>
      </c>
      <c r="AW117" s="1794">
        <f t="shared" si="64"/>
        <v>0</v>
      </c>
      <c r="AX117" s="1794">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7"/>
      <c r="AV118" s="1794">
        <f t="shared" si="63"/>
        <v>0</v>
      </c>
      <c r="AW118" s="1794">
        <f t="shared" si="64"/>
        <v>0</v>
      </c>
      <c r="AX118" s="1794">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7"/>
      <c r="AV119" s="1794">
        <f t="shared" si="63"/>
        <v>0</v>
      </c>
      <c r="AW119" s="1794">
        <f t="shared" si="64"/>
        <v>0</v>
      </c>
      <c r="AX119" s="1794">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7"/>
      <c r="AV120" s="1794">
        <f t="shared" si="63"/>
        <v>0</v>
      </c>
      <c r="AW120" s="1794">
        <f t="shared" si="64"/>
        <v>0</v>
      </c>
      <c r="AX120" s="1794">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7"/>
      <c r="AV121" s="1794">
        <f t="shared" si="63"/>
        <v>0</v>
      </c>
      <c r="AW121" s="1794">
        <f t="shared" si="64"/>
        <v>0</v>
      </c>
      <c r="AX121" s="1794">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7"/>
      <c r="AV122" s="1794">
        <f t="shared" si="63"/>
        <v>0</v>
      </c>
      <c r="AW122" s="1794">
        <f t="shared" si="64"/>
        <v>0</v>
      </c>
      <c r="AX122" s="1794">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7"/>
      <c r="AV123" s="1794">
        <f t="shared" si="63"/>
        <v>0</v>
      </c>
      <c r="AW123" s="1794">
        <f t="shared" si="64"/>
        <v>0</v>
      </c>
      <c r="AX123" s="1794">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7"/>
      <c r="AV124" s="1794">
        <f t="shared" si="63"/>
        <v>0</v>
      </c>
      <c r="AW124" s="1794">
        <f t="shared" si="64"/>
        <v>0</v>
      </c>
      <c r="AX124" s="1794">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7"/>
      <c r="AV125" s="1794">
        <f t="shared" si="63"/>
        <v>0</v>
      </c>
      <c r="AW125" s="1794">
        <f t="shared" si="64"/>
        <v>0</v>
      </c>
      <c r="AX125" s="1794">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7"/>
      <c r="AV126" s="1794">
        <f t="shared" si="63"/>
        <v>0</v>
      </c>
      <c r="AW126" s="1794">
        <f t="shared" si="64"/>
        <v>0</v>
      </c>
      <c r="AX126" s="1794">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7"/>
      <c r="AV127" s="1794">
        <f t="shared" si="63"/>
        <v>0</v>
      </c>
      <c r="AW127" s="1794">
        <f t="shared" si="64"/>
        <v>0</v>
      </c>
      <c r="AX127" s="1794">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7"/>
      <c r="AV128" s="1794">
        <f t="shared" si="63"/>
        <v>0</v>
      </c>
      <c r="AW128" s="1794">
        <f t="shared" si="64"/>
        <v>0</v>
      </c>
      <c r="AX128" s="1794">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7"/>
      <c r="AV129" s="1794">
        <f t="shared" si="63"/>
        <v>0</v>
      </c>
      <c r="AW129" s="1794">
        <f t="shared" si="64"/>
        <v>0</v>
      </c>
      <c r="AX129" s="1794">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7"/>
      <c r="AV130" s="1794">
        <f t="shared" si="63"/>
        <v>0</v>
      </c>
      <c r="AW130" s="1794">
        <f t="shared" si="64"/>
        <v>0</v>
      </c>
      <c r="AX130" s="1794">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7"/>
      <c r="AV131" s="1794">
        <f t="shared" si="63"/>
        <v>0</v>
      </c>
      <c r="AW131" s="1794">
        <f t="shared" si="64"/>
        <v>0</v>
      </c>
      <c r="AX131" s="1794">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7"/>
      <c r="AV132" s="1794">
        <f t="shared" si="63"/>
        <v>0</v>
      </c>
      <c r="AW132" s="1794">
        <f t="shared" si="64"/>
        <v>0</v>
      </c>
      <c r="AX132" s="1794">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7"/>
      <c r="AV133" s="1794">
        <f t="shared" si="63"/>
        <v>0</v>
      </c>
      <c r="AW133" s="1794">
        <f t="shared" si="64"/>
        <v>0</v>
      </c>
      <c r="AX133" s="1794">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7"/>
      <c r="AV134" s="1794">
        <f t="shared" si="63"/>
        <v>0</v>
      </c>
      <c r="AW134" s="1794">
        <f t="shared" si="64"/>
        <v>0</v>
      </c>
      <c r="AX134" s="1794">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7"/>
      <c r="AV135" s="1794">
        <f t="shared" si="63"/>
        <v>0</v>
      </c>
      <c r="AW135" s="1794">
        <f t="shared" si="64"/>
        <v>0</v>
      </c>
      <c r="AX135" s="1794">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7"/>
      <c r="AV136" s="1794">
        <f t="shared" si="63"/>
        <v>0</v>
      </c>
      <c r="AW136" s="1794">
        <f t="shared" si="64"/>
        <v>0</v>
      </c>
      <c r="AX136" s="1794">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7"/>
      <c r="AV137" s="1794">
        <f t="shared" si="63"/>
        <v>0</v>
      </c>
      <c r="AW137" s="1794">
        <f t="shared" si="64"/>
        <v>0</v>
      </c>
      <c r="AX137" s="1794">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7"/>
      <c r="AV138" s="1794">
        <f t="shared" si="63"/>
        <v>0</v>
      </c>
      <c r="AW138" s="1794">
        <f t="shared" si="64"/>
        <v>0</v>
      </c>
      <c r="AX138" s="1794">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7"/>
      <c r="AV139" s="1794">
        <f t="shared" si="63"/>
        <v>0</v>
      </c>
      <c r="AW139" s="1794">
        <f t="shared" si="64"/>
        <v>0</v>
      </c>
      <c r="AX139" s="1794">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7"/>
      <c r="AV140" s="1794">
        <f t="shared" si="63"/>
        <v>0</v>
      </c>
      <c r="AW140" s="1794">
        <f t="shared" si="64"/>
        <v>0</v>
      </c>
      <c r="AX140" s="1794">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7"/>
      <c r="AV141" s="1794">
        <f t="shared" si="63"/>
        <v>0</v>
      </c>
      <c r="AW141" s="1794">
        <f t="shared" si="64"/>
        <v>0</v>
      </c>
      <c r="AX141" s="1794">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3"/>
        <v>0</v>
      </c>
      <c r="AW142" s="1794">
        <f t="shared" si="64"/>
        <v>0</v>
      </c>
      <c r="AX142" s="1794">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7"/>
      <c r="AV143" s="1794">
        <f t="shared" si="63"/>
        <v>0</v>
      </c>
      <c r="AW143" s="1794">
        <f t="shared" si="64"/>
        <v>0</v>
      </c>
      <c r="AX143" s="1794">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7"/>
      <c r="AV144" s="1794">
        <f t="shared" si="63"/>
        <v>0</v>
      </c>
      <c r="AW144" s="1794">
        <f t="shared" si="64"/>
        <v>0</v>
      </c>
      <c r="AX144" s="1794">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2">A145</f>
        <v>0</v>
      </c>
      <c r="AW145" s="1794">
        <f t="shared" ref="AW145:AW176" si="93">B145</f>
        <v>0</v>
      </c>
      <c r="AX145" s="1794">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7"/>
      <c r="AV146" s="1794">
        <f t="shared" si="92"/>
        <v>0</v>
      </c>
      <c r="AW146" s="1794">
        <f t="shared" si="93"/>
        <v>0</v>
      </c>
      <c r="AX146" s="1794">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7"/>
      <c r="AV147" s="1794">
        <f t="shared" si="92"/>
        <v>0</v>
      </c>
      <c r="AW147" s="1794">
        <f t="shared" si="93"/>
        <v>0</v>
      </c>
      <c r="AX147" s="1794">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7"/>
      <c r="AV148" s="1794">
        <f t="shared" si="92"/>
        <v>0</v>
      </c>
      <c r="AW148" s="1794">
        <f t="shared" si="93"/>
        <v>0</v>
      </c>
      <c r="AX148" s="1794">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7"/>
      <c r="AV149" s="1794">
        <f t="shared" si="92"/>
        <v>0</v>
      </c>
      <c r="AW149" s="1794">
        <f t="shared" si="93"/>
        <v>0</v>
      </c>
      <c r="AX149" s="1794">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7"/>
      <c r="AV150" s="1794">
        <f t="shared" si="92"/>
        <v>0</v>
      </c>
      <c r="AW150" s="1794">
        <f t="shared" si="93"/>
        <v>0</v>
      </c>
      <c r="AX150" s="1794">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7"/>
      <c r="AV151" s="1794">
        <f t="shared" si="92"/>
        <v>0</v>
      </c>
      <c r="AW151" s="1794">
        <f t="shared" si="93"/>
        <v>0</v>
      </c>
      <c r="AX151" s="1794">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7"/>
      <c r="AV152" s="1794">
        <f t="shared" si="92"/>
        <v>0</v>
      </c>
      <c r="AW152" s="1794">
        <f t="shared" si="93"/>
        <v>0</v>
      </c>
      <c r="AX152" s="1794">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7"/>
      <c r="AV153" s="1794">
        <f t="shared" si="92"/>
        <v>0</v>
      </c>
      <c r="AW153" s="1794">
        <f t="shared" si="93"/>
        <v>0</v>
      </c>
      <c r="AX153" s="1794">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7"/>
      <c r="AV154" s="1794">
        <f t="shared" si="92"/>
        <v>0</v>
      </c>
      <c r="AW154" s="1794">
        <f t="shared" si="93"/>
        <v>0</v>
      </c>
      <c r="AX154" s="1794">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7"/>
      <c r="AV155" s="1794">
        <f t="shared" si="92"/>
        <v>0</v>
      </c>
      <c r="AW155" s="1794">
        <f t="shared" si="93"/>
        <v>0</v>
      </c>
      <c r="AX155" s="1794">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7"/>
      <c r="AV156" s="1794">
        <f t="shared" si="92"/>
        <v>0</v>
      </c>
      <c r="AW156" s="1794">
        <f t="shared" si="93"/>
        <v>0</v>
      </c>
      <c r="AX156" s="1794">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7"/>
      <c r="AV157" s="1794">
        <f t="shared" si="92"/>
        <v>0</v>
      </c>
      <c r="AW157" s="1794">
        <f t="shared" si="93"/>
        <v>0</v>
      </c>
      <c r="AX157" s="1794">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7"/>
      <c r="AV158" s="1794">
        <f t="shared" si="92"/>
        <v>0</v>
      </c>
      <c r="AW158" s="1794">
        <f t="shared" si="93"/>
        <v>0</v>
      </c>
      <c r="AX158" s="1794">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7"/>
      <c r="AV159" s="1794">
        <f t="shared" si="92"/>
        <v>0</v>
      </c>
      <c r="AW159" s="1794">
        <f t="shared" si="93"/>
        <v>0</v>
      </c>
      <c r="AX159" s="1794">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7"/>
      <c r="AV160" s="1794">
        <f t="shared" si="92"/>
        <v>0</v>
      </c>
      <c r="AW160" s="1794">
        <f t="shared" si="93"/>
        <v>0</v>
      </c>
      <c r="AX160" s="1794">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7"/>
      <c r="AV161" s="1794">
        <f t="shared" si="92"/>
        <v>0</v>
      </c>
      <c r="AW161" s="1794">
        <f t="shared" si="93"/>
        <v>0</v>
      </c>
      <c r="AX161" s="1794">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7"/>
      <c r="AV162" s="1794">
        <f t="shared" si="92"/>
        <v>0</v>
      </c>
      <c r="AW162" s="1794">
        <f t="shared" si="93"/>
        <v>0</v>
      </c>
      <c r="AX162" s="1794">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7"/>
      <c r="AV163" s="1794">
        <f t="shared" si="92"/>
        <v>0</v>
      </c>
      <c r="AW163" s="1794">
        <f t="shared" si="93"/>
        <v>0</v>
      </c>
      <c r="AX163" s="1794">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7"/>
      <c r="AV164" s="1794">
        <f t="shared" si="92"/>
        <v>0</v>
      </c>
      <c r="AW164" s="1794">
        <f t="shared" si="93"/>
        <v>0</v>
      </c>
      <c r="AX164" s="1794">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7"/>
      <c r="AV165" s="1794">
        <f t="shared" si="92"/>
        <v>0</v>
      </c>
      <c r="AW165" s="1794">
        <f t="shared" si="93"/>
        <v>0</v>
      </c>
      <c r="AX165" s="1794">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7"/>
      <c r="AV166" s="1794">
        <f t="shared" si="92"/>
        <v>0</v>
      </c>
      <c r="AW166" s="1794">
        <f t="shared" si="93"/>
        <v>0</v>
      </c>
      <c r="AX166" s="1794">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7"/>
      <c r="AV167" s="1794">
        <f t="shared" si="92"/>
        <v>0</v>
      </c>
      <c r="AW167" s="1794">
        <f t="shared" si="93"/>
        <v>0</v>
      </c>
      <c r="AX167" s="1794">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7"/>
      <c r="AV168" s="1794">
        <f t="shared" si="92"/>
        <v>0</v>
      </c>
      <c r="AW168" s="1794">
        <f t="shared" si="93"/>
        <v>0</v>
      </c>
      <c r="AX168" s="1794">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7"/>
      <c r="AV169" s="1794">
        <f t="shared" si="92"/>
        <v>0</v>
      </c>
      <c r="AW169" s="1794">
        <f t="shared" si="93"/>
        <v>0</v>
      </c>
      <c r="AX169" s="1794">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7"/>
      <c r="AV170" s="1794">
        <f t="shared" si="92"/>
        <v>0</v>
      </c>
      <c r="AW170" s="1794">
        <f t="shared" si="93"/>
        <v>0</v>
      </c>
      <c r="AX170" s="1794">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7"/>
      <c r="AV171" s="1794">
        <f t="shared" si="92"/>
        <v>0</v>
      </c>
      <c r="AW171" s="1794">
        <f t="shared" si="93"/>
        <v>0</v>
      </c>
      <c r="AX171" s="1794">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7"/>
      <c r="AV172" s="1794">
        <f t="shared" si="92"/>
        <v>0</v>
      </c>
      <c r="AW172" s="1794">
        <f t="shared" si="93"/>
        <v>0</v>
      </c>
      <c r="AX172" s="1794">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7"/>
      <c r="AV173" s="1794">
        <f t="shared" si="92"/>
        <v>0</v>
      </c>
      <c r="AW173" s="1794">
        <f t="shared" si="93"/>
        <v>0</v>
      </c>
      <c r="AX173" s="1794">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2"/>
        <v>0</v>
      </c>
      <c r="AW174" s="1794">
        <f t="shared" si="93"/>
        <v>0</v>
      </c>
      <c r="AX174" s="1794">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7"/>
      <c r="AV175" s="1794">
        <f t="shared" si="92"/>
        <v>0</v>
      </c>
      <c r="AW175" s="1794">
        <f t="shared" si="93"/>
        <v>0</v>
      </c>
      <c r="AX175" s="1794">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7"/>
      <c r="AV176" s="1794">
        <f t="shared" si="92"/>
        <v>0</v>
      </c>
      <c r="AW176" s="1794">
        <f t="shared" si="93"/>
        <v>0</v>
      </c>
      <c r="AX176" s="1794">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1">A177</f>
        <v>0</v>
      </c>
      <c r="AW177" s="1794">
        <f t="shared" ref="AW177:AW207" si="122">B177</f>
        <v>0</v>
      </c>
      <c r="AX177" s="1794">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7"/>
      <c r="AV178" s="1794">
        <f t="shared" si="121"/>
        <v>0</v>
      </c>
      <c r="AW178" s="1794">
        <f t="shared" si="122"/>
        <v>0</v>
      </c>
      <c r="AX178" s="1794">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7"/>
      <c r="AV179" s="1794">
        <f t="shared" si="121"/>
        <v>0</v>
      </c>
      <c r="AW179" s="1794">
        <f t="shared" si="122"/>
        <v>0</v>
      </c>
      <c r="AX179" s="1794">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7"/>
      <c r="AV180" s="1794">
        <f t="shared" si="121"/>
        <v>0</v>
      </c>
      <c r="AW180" s="1794">
        <f t="shared" si="122"/>
        <v>0</v>
      </c>
      <c r="AX180" s="1794">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7"/>
      <c r="AV181" s="1794">
        <f t="shared" si="121"/>
        <v>0</v>
      </c>
      <c r="AW181" s="1794">
        <f t="shared" si="122"/>
        <v>0</v>
      </c>
      <c r="AX181" s="1794">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7"/>
      <c r="AV182" s="1794">
        <f t="shared" si="121"/>
        <v>0</v>
      </c>
      <c r="AW182" s="1794">
        <f t="shared" si="122"/>
        <v>0</v>
      </c>
      <c r="AX182" s="1794">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7"/>
      <c r="AV183" s="1794">
        <f t="shared" si="121"/>
        <v>0</v>
      </c>
      <c r="AW183" s="1794">
        <f t="shared" si="122"/>
        <v>0</v>
      </c>
      <c r="AX183" s="1794">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7"/>
      <c r="AV184" s="1794">
        <f t="shared" si="121"/>
        <v>0</v>
      </c>
      <c r="AW184" s="1794">
        <f t="shared" si="122"/>
        <v>0</v>
      </c>
      <c r="AX184" s="1794">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7"/>
      <c r="AV185" s="1794">
        <f t="shared" si="121"/>
        <v>0</v>
      </c>
      <c r="AW185" s="1794">
        <f t="shared" si="122"/>
        <v>0</v>
      </c>
      <c r="AX185" s="1794">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7"/>
      <c r="AV186" s="1794">
        <f t="shared" si="121"/>
        <v>0</v>
      </c>
      <c r="AW186" s="1794">
        <f t="shared" si="122"/>
        <v>0</v>
      </c>
      <c r="AX186" s="1794">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7"/>
      <c r="AV187" s="1794">
        <f t="shared" si="121"/>
        <v>0</v>
      </c>
      <c r="AW187" s="1794">
        <f t="shared" si="122"/>
        <v>0</v>
      </c>
      <c r="AX187" s="1794">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7"/>
      <c r="AV188" s="1794">
        <f t="shared" si="121"/>
        <v>0</v>
      </c>
      <c r="AW188" s="1794">
        <f t="shared" si="122"/>
        <v>0</v>
      </c>
      <c r="AX188" s="1794">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7"/>
      <c r="AV189" s="1794">
        <f t="shared" si="121"/>
        <v>0</v>
      </c>
      <c r="AW189" s="1794">
        <f t="shared" si="122"/>
        <v>0</v>
      </c>
      <c r="AX189" s="1794">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7"/>
      <c r="AV190" s="1794">
        <f t="shared" si="121"/>
        <v>0</v>
      </c>
      <c r="AW190" s="1794">
        <f t="shared" si="122"/>
        <v>0</v>
      </c>
      <c r="AX190" s="1794">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7"/>
      <c r="AV191" s="1794">
        <f t="shared" si="121"/>
        <v>0</v>
      </c>
      <c r="AW191" s="1794">
        <f t="shared" si="122"/>
        <v>0</v>
      </c>
      <c r="AX191" s="1794">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7"/>
      <c r="AV192" s="1794">
        <f t="shared" si="121"/>
        <v>0</v>
      </c>
      <c r="AW192" s="1794">
        <f t="shared" si="122"/>
        <v>0</v>
      </c>
      <c r="AX192" s="1794">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7"/>
      <c r="AV193" s="1794">
        <f t="shared" si="121"/>
        <v>0</v>
      </c>
      <c r="AW193" s="1794">
        <f t="shared" si="122"/>
        <v>0</v>
      </c>
      <c r="AX193" s="1794">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7"/>
      <c r="AV194" s="1794">
        <f t="shared" si="121"/>
        <v>0</v>
      </c>
      <c r="AW194" s="1794">
        <f t="shared" si="122"/>
        <v>0</v>
      </c>
      <c r="AX194" s="1794">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7"/>
      <c r="AV195" s="1794">
        <f t="shared" si="121"/>
        <v>0</v>
      </c>
      <c r="AW195" s="1794">
        <f t="shared" si="122"/>
        <v>0</v>
      </c>
      <c r="AX195" s="1794">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7"/>
      <c r="AV196" s="1794">
        <f t="shared" si="121"/>
        <v>0</v>
      </c>
      <c r="AW196" s="1794">
        <f t="shared" si="122"/>
        <v>0</v>
      </c>
      <c r="AX196" s="1794">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7"/>
      <c r="AV197" s="1794">
        <f t="shared" si="121"/>
        <v>0</v>
      </c>
      <c r="AW197" s="1794">
        <f t="shared" si="122"/>
        <v>0</v>
      </c>
      <c r="AX197" s="1794">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7"/>
      <c r="AV198" s="1794">
        <f t="shared" si="121"/>
        <v>0</v>
      </c>
      <c r="AW198" s="1794">
        <f t="shared" si="122"/>
        <v>0</v>
      </c>
      <c r="AX198" s="1794">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7"/>
      <c r="AV199" s="1794">
        <f t="shared" si="121"/>
        <v>0</v>
      </c>
      <c r="AW199" s="1794">
        <f t="shared" si="122"/>
        <v>0</v>
      </c>
      <c r="AX199" s="1794">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7"/>
      <c r="AV200" s="1794">
        <f t="shared" si="121"/>
        <v>0</v>
      </c>
      <c r="AW200" s="1794">
        <f t="shared" si="122"/>
        <v>0</v>
      </c>
      <c r="AX200" s="1794">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7"/>
      <c r="AV201" s="1794">
        <f t="shared" si="121"/>
        <v>0</v>
      </c>
      <c r="AW201" s="1794">
        <f t="shared" si="122"/>
        <v>0</v>
      </c>
      <c r="AX201" s="1794">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7"/>
      <c r="AV202" s="1794">
        <f t="shared" si="121"/>
        <v>0</v>
      </c>
      <c r="AW202" s="1794">
        <f t="shared" si="122"/>
        <v>0</v>
      </c>
      <c r="AX202" s="1794">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7"/>
      <c r="AV203" s="1794">
        <f t="shared" si="121"/>
        <v>0</v>
      </c>
      <c r="AW203" s="1794">
        <f t="shared" si="122"/>
        <v>0</v>
      </c>
      <c r="AX203" s="1794">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7"/>
      <c r="AV204" s="1794">
        <f t="shared" si="121"/>
        <v>0</v>
      </c>
      <c r="AW204" s="1794">
        <f t="shared" si="122"/>
        <v>0</v>
      </c>
      <c r="AX204" s="1794">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2"/>
      <c r="AV205" s="1794">
        <f t="shared" si="121"/>
        <v>0</v>
      </c>
      <c r="AW205" s="1794">
        <f t="shared" si="122"/>
        <v>0</v>
      </c>
      <c r="AX205" s="1794">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1"/>
        <v>0</v>
      </c>
      <c r="AW206" s="1794">
        <f t="shared" si="122"/>
        <v>0</v>
      </c>
      <c r="AX206" s="1794">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1"/>
        <v>0</v>
      </c>
      <c r="AW207" s="1794">
        <f t="shared" si="122"/>
        <v>0</v>
      </c>
      <c r="AX207" s="1794">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8">A208</f>
        <v>0</v>
      </c>
      <c r="AW208" s="1794">
        <f t="shared" ref="AW208:AW302" si="129">B208</f>
        <v>0</v>
      </c>
      <c r="AX208" s="1794">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7"/>
      <c r="AV209" s="1794">
        <f t="shared" si="128"/>
        <v>0</v>
      </c>
      <c r="AW209" s="1794">
        <f t="shared" si="129"/>
        <v>0</v>
      </c>
      <c r="AX209" s="1794">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7"/>
      <c r="AV210" s="1794">
        <f t="shared" si="128"/>
        <v>0</v>
      </c>
      <c r="AW210" s="1794">
        <f t="shared" si="129"/>
        <v>0</v>
      </c>
      <c r="AX210" s="1794">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7"/>
      <c r="AV211" s="1794">
        <f t="shared" si="128"/>
        <v>0</v>
      </c>
      <c r="AW211" s="1794">
        <f t="shared" si="129"/>
        <v>0</v>
      </c>
      <c r="AX211" s="1794">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7"/>
      <c r="AV212" s="1794">
        <f t="shared" si="128"/>
        <v>0</v>
      </c>
      <c r="AW212" s="1794">
        <f t="shared" si="129"/>
        <v>0</v>
      </c>
      <c r="AX212" s="1794">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7"/>
      <c r="AV213" s="1794">
        <f t="shared" si="128"/>
        <v>0</v>
      </c>
      <c r="AW213" s="1794">
        <f t="shared" si="129"/>
        <v>0</v>
      </c>
      <c r="AX213" s="1794">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7"/>
      <c r="AV214" s="1794">
        <f t="shared" si="128"/>
        <v>0</v>
      </c>
      <c r="AW214" s="1794">
        <f t="shared" si="129"/>
        <v>0</v>
      </c>
      <c r="AX214" s="1794">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7"/>
      <c r="AV215" s="1794">
        <f t="shared" si="128"/>
        <v>0</v>
      </c>
      <c r="AW215" s="1794">
        <f t="shared" si="129"/>
        <v>0</v>
      </c>
      <c r="AX215" s="1794">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7"/>
      <c r="AV216" s="1794">
        <f t="shared" si="128"/>
        <v>0</v>
      </c>
      <c r="AW216" s="1794">
        <f t="shared" si="129"/>
        <v>0</v>
      </c>
      <c r="AX216" s="1794">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7"/>
      <c r="AV217" s="1794">
        <f t="shared" si="128"/>
        <v>0</v>
      </c>
      <c r="AW217" s="1794">
        <f t="shared" si="129"/>
        <v>0</v>
      </c>
      <c r="AX217" s="1794">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7"/>
      <c r="AV218" s="1794">
        <f t="shared" si="128"/>
        <v>0</v>
      </c>
      <c r="AW218" s="1794">
        <f t="shared" si="129"/>
        <v>0</v>
      </c>
      <c r="AX218" s="1794">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7"/>
      <c r="AV219" s="1794">
        <f t="shared" si="128"/>
        <v>0</v>
      </c>
      <c r="AW219" s="1794">
        <f t="shared" si="129"/>
        <v>0</v>
      </c>
      <c r="AX219" s="1794">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7"/>
      <c r="AV220" s="1794">
        <f t="shared" si="128"/>
        <v>0</v>
      </c>
      <c r="AW220" s="1794">
        <f t="shared" si="129"/>
        <v>0</v>
      </c>
      <c r="AX220" s="1794">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7"/>
      <c r="AV221" s="1794">
        <f t="shared" si="128"/>
        <v>0</v>
      </c>
      <c r="AW221" s="1794">
        <f t="shared" si="129"/>
        <v>0</v>
      </c>
      <c r="AX221" s="1794">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7"/>
      <c r="AV222" s="1794">
        <f t="shared" si="128"/>
        <v>0</v>
      </c>
      <c r="AW222" s="1794">
        <f t="shared" si="129"/>
        <v>0</v>
      </c>
      <c r="AX222" s="1794">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7"/>
      <c r="AV223" s="1794">
        <f t="shared" si="128"/>
        <v>0</v>
      </c>
      <c r="AW223" s="1794">
        <f t="shared" si="129"/>
        <v>0</v>
      </c>
      <c r="AX223" s="1794">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7"/>
      <c r="AV224" s="1794">
        <f t="shared" si="128"/>
        <v>0</v>
      </c>
      <c r="AW224" s="1794">
        <f t="shared" si="129"/>
        <v>0</v>
      </c>
      <c r="AX224" s="1794">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7"/>
      <c r="AV225" s="1794">
        <f t="shared" si="128"/>
        <v>0</v>
      </c>
      <c r="AW225" s="1794">
        <f t="shared" si="129"/>
        <v>0</v>
      </c>
      <c r="AX225" s="1794">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7"/>
      <c r="AV226" s="1794">
        <f t="shared" si="128"/>
        <v>0</v>
      </c>
      <c r="AW226" s="1794">
        <f t="shared" si="129"/>
        <v>0</v>
      </c>
      <c r="AX226" s="1794">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7"/>
      <c r="AV227" s="1794">
        <f t="shared" si="128"/>
        <v>0</v>
      </c>
      <c r="AW227" s="1794">
        <f t="shared" si="129"/>
        <v>0</v>
      </c>
      <c r="AX227" s="1794">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7"/>
      <c r="AV228" s="1794">
        <f t="shared" si="128"/>
        <v>0</v>
      </c>
      <c r="AW228" s="1794">
        <f t="shared" si="129"/>
        <v>0</v>
      </c>
      <c r="AX228" s="1794">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7"/>
      <c r="AV229" s="1794">
        <f t="shared" si="128"/>
        <v>0</v>
      </c>
      <c r="AW229" s="1794">
        <f t="shared" si="129"/>
        <v>0</v>
      </c>
      <c r="AX229" s="1794">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7"/>
      <c r="AV230" s="1794">
        <f t="shared" si="128"/>
        <v>0</v>
      </c>
      <c r="AW230" s="1794">
        <f t="shared" si="129"/>
        <v>0</v>
      </c>
      <c r="AX230" s="1794">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7"/>
      <c r="AV231" s="1794">
        <f t="shared" si="128"/>
        <v>0</v>
      </c>
      <c r="AW231" s="1794">
        <f t="shared" si="129"/>
        <v>0</v>
      </c>
      <c r="AX231" s="1794">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7"/>
      <c r="AV232" s="1794">
        <f t="shared" si="128"/>
        <v>0</v>
      </c>
      <c r="AW232" s="1794">
        <f t="shared" si="129"/>
        <v>0</v>
      </c>
      <c r="AX232" s="1794">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7"/>
      <c r="AV233" s="1794">
        <f t="shared" si="128"/>
        <v>0</v>
      </c>
      <c r="AW233" s="1794">
        <f t="shared" si="129"/>
        <v>0</v>
      </c>
      <c r="AX233" s="1794">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7"/>
      <c r="AV234" s="1794">
        <f t="shared" si="128"/>
        <v>0</v>
      </c>
      <c r="AW234" s="1794">
        <f t="shared" si="129"/>
        <v>0</v>
      </c>
      <c r="AX234" s="1794">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7"/>
      <c r="AV235" s="1794">
        <f t="shared" si="128"/>
        <v>0</v>
      </c>
      <c r="AW235" s="1794">
        <f t="shared" si="129"/>
        <v>0</v>
      </c>
      <c r="AX235" s="1794">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7"/>
      <c r="AV236" s="1794">
        <f t="shared" si="128"/>
        <v>0</v>
      </c>
      <c r="AW236" s="1794">
        <f t="shared" si="129"/>
        <v>0</v>
      </c>
      <c r="AX236" s="1794">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7"/>
      <c r="AV237" s="1794">
        <f t="shared" si="128"/>
        <v>0</v>
      </c>
      <c r="AW237" s="1794">
        <f t="shared" si="129"/>
        <v>0</v>
      </c>
      <c r="AX237" s="1794">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7"/>
      <c r="AV238" s="1794">
        <f t="shared" si="128"/>
        <v>0</v>
      </c>
      <c r="AW238" s="1794">
        <f t="shared" si="129"/>
        <v>0</v>
      </c>
      <c r="AX238" s="1794">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7"/>
      <c r="AV239" s="1794">
        <f t="shared" si="128"/>
        <v>0</v>
      </c>
      <c r="AW239" s="1794">
        <f t="shared" si="129"/>
        <v>0</v>
      </c>
      <c r="AX239" s="1794">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7"/>
      <c r="AV240" s="1794">
        <f t="shared" si="128"/>
        <v>0</v>
      </c>
      <c r="AW240" s="1794">
        <f t="shared" si="129"/>
        <v>0</v>
      </c>
      <c r="AX240" s="1794">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7"/>
      <c r="AV241" s="1794">
        <f t="shared" si="128"/>
        <v>0</v>
      </c>
      <c r="AW241" s="1794">
        <f t="shared" si="129"/>
        <v>0</v>
      </c>
      <c r="AX241" s="1794">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7"/>
      <c r="AV242" s="1794">
        <f t="shared" si="128"/>
        <v>0</v>
      </c>
      <c r="AW242" s="1794">
        <f t="shared" si="129"/>
        <v>0</v>
      </c>
      <c r="AX242" s="1794">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7"/>
      <c r="AV243" s="1794">
        <f t="shared" si="128"/>
        <v>0</v>
      </c>
      <c r="AW243" s="1794">
        <f t="shared" si="129"/>
        <v>0</v>
      </c>
      <c r="AX243" s="1794">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7"/>
      <c r="AV244" s="1794">
        <f t="shared" si="128"/>
        <v>0</v>
      </c>
      <c r="AW244" s="1794">
        <f t="shared" si="129"/>
        <v>0</v>
      </c>
      <c r="AX244" s="1794">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7"/>
      <c r="AV245" s="1794">
        <f t="shared" si="128"/>
        <v>0</v>
      </c>
      <c r="AW245" s="1794">
        <f t="shared" si="129"/>
        <v>0</v>
      </c>
      <c r="AX245" s="1794">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7"/>
      <c r="AV246" s="1794">
        <f t="shared" si="128"/>
        <v>0</v>
      </c>
      <c r="AW246" s="1794">
        <f t="shared" si="129"/>
        <v>0</v>
      </c>
      <c r="AX246" s="1794">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7"/>
      <c r="AV247" s="1794">
        <f t="shared" si="128"/>
        <v>0</v>
      </c>
      <c r="AW247" s="1794">
        <f t="shared" si="129"/>
        <v>0</v>
      </c>
      <c r="AX247" s="1794">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7"/>
      <c r="AV248" s="1794">
        <f t="shared" si="128"/>
        <v>0</v>
      </c>
      <c r="AW248" s="1794">
        <f t="shared" si="129"/>
        <v>0</v>
      </c>
      <c r="AX248" s="1794">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7"/>
      <c r="AV249" s="1794">
        <f t="shared" si="128"/>
        <v>0</v>
      </c>
      <c r="AW249" s="1794">
        <f t="shared" si="129"/>
        <v>0</v>
      </c>
      <c r="AX249" s="1794">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7"/>
      <c r="AV250" s="1794">
        <f t="shared" si="128"/>
        <v>0</v>
      </c>
      <c r="AW250" s="1794">
        <f t="shared" si="129"/>
        <v>0</v>
      </c>
      <c r="AX250" s="1794">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7"/>
      <c r="AV251" s="1794">
        <f t="shared" si="128"/>
        <v>0</v>
      </c>
      <c r="AW251" s="1794">
        <f t="shared" si="129"/>
        <v>0</v>
      </c>
      <c r="AX251" s="1794">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7"/>
      <c r="AV252" s="1794">
        <f t="shared" si="128"/>
        <v>0</v>
      </c>
      <c r="AW252" s="1794">
        <f t="shared" si="129"/>
        <v>0</v>
      </c>
      <c r="AX252" s="1794">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7"/>
      <c r="AV253" s="1794">
        <f t="shared" si="128"/>
        <v>0</v>
      </c>
      <c r="AW253" s="1794">
        <f t="shared" si="129"/>
        <v>0</v>
      </c>
      <c r="AX253" s="1794">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7"/>
      <c r="AV254" s="1794">
        <f t="shared" si="128"/>
        <v>0</v>
      </c>
      <c r="AW254" s="1794">
        <f t="shared" si="129"/>
        <v>0</v>
      </c>
      <c r="AX254" s="1794">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7"/>
      <c r="AV255" s="1794">
        <f t="shared" si="128"/>
        <v>0</v>
      </c>
      <c r="AW255" s="1794">
        <f t="shared" si="129"/>
        <v>0</v>
      </c>
      <c r="AX255" s="1794">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7"/>
      <c r="AV256" s="1794">
        <f t="shared" si="128"/>
        <v>0</v>
      </c>
      <c r="AW256" s="1794">
        <f t="shared" si="129"/>
        <v>0</v>
      </c>
      <c r="AX256" s="1794">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7"/>
      <c r="AV257" s="1794">
        <f t="shared" si="128"/>
        <v>0</v>
      </c>
      <c r="AW257" s="1794">
        <f t="shared" si="129"/>
        <v>0</v>
      </c>
      <c r="AX257" s="1794">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7"/>
      <c r="AV258" s="1794">
        <f t="shared" si="128"/>
        <v>0</v>
      </c>
      <c r="AW258" s="1794">
        <f t="shared" si="129"/>
        <v>0</v>
      </c>
      <c r="AX258" s="1794">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7"/>
      <c r="AV259" s="1794">
        <f t="shared" si="128"/>
        <v>0</v>
      </c>
      <c r="AW259" s="1794">
        <f t="shared" si="129"/>
        <v>0</v>
      </c>
      <c r="AX259" s="1794">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7"/>
      <c r="AV260" s="1794">
        <f t="shared" si="128"/>
        <v>0</v>
      </c>
      <c r="AW260" s="1794">
        <f t="shared" si="129"/>
        <v>0</v>
      </c>
      <c r="AX260" s="1794">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7"/>
      <c r="AV261" s="1794">
        <f t="shared" si="128"/>
        <v>0</v>
      </c>
      <c r="AW261" s="1794">
        <f t="shared" si="129"/>
        <v>0</v>
      </c>
      <c r="AX261" s="1794">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7"/>
      <c r="AV262" s="1794">
        <f t="shared" si="128"/>
        <v>0</v>
      </c>
      <c r="AW262" s="1794">
        <f t="shared" si="129"/>
        <v>0</v>
      </c>
      <c r="AX262" s="1794">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7"/>
      <c r="AV263" s="1794">
        <f t="shared" si="128"/>
        <v>0</v>
      </c>
      <c r="AW263" s="1794">
        <f t="shared" si="129"/>
        <v>0</v>
      </c>
      <c r="AX263" s="1794">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7"/>
      <c r="AV264" s="1794">
        <f t="shared" si="128"/>
        <v>0</v>
      </c>
      <c r="AW264" s="1794">
        <f t="shared" si="129"/>
        <v>0</v>
      </c>
      <c r="AX264" s="1794">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7"/>
      <c r="AV265" s="1794">
        <f t="shared" si="128"/>
        <v>0</v>
      </c>
      <c r="AW265" s="1794">
        <f t="shared" si="129"/>
        <v>0</v>
      </c>
      <c r="AX265" s="1794">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7"/>
      <c r="AV266" s="1794">
        <f t="shared" si="128"/>
        <v>0</v>
      </c>
      <c r="AW266" s="1794">
        <f t="shared" si="129"/>
        <v>0</v>
      </c>
      <c r="AX266" s="1794">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7"/>
      <c r="AV267" s="1794">
        <f t="shared" si="128"/>
        <v>0</v>
      </c>
      <c r="AW267" s="1794">
        <f t="shared" si="129"/>
        <v>0</v>
      </c>
      <c r="AX267" s="1794">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7"/>
      <c r="AV268" s="1794">
        <f t="shared" si="128"/>
        <v>0</v>
      </c>
      <c r="AW268" s="1794">
        <f t="shared" si="129"/>
        <v>0</v>
      </c>
      <c r="AX268" s="1794">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7"/>
      <c r="AV269" s="1794">
        <f t="shared" si="128"/>
        <v>0</v>
      </c>
      <c r="AW269" s="1794">
        <f t="shared" si="129"/>
        <v>0</v>
      </c>
      <c r="AX269" s="1794">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7"/>
      <c r="AV270" s="1794">
        <f t="shared" si="128"/>
        <v>0</v>
      </c>
      <c r="AW270" s="1794">
        <f t="shared" si="129"/>
        <v>0</v>
      </c>
      <c r="AX270" s="1794">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7"/>
      <c r="AV271" s="1794">
        <f t="shared" si="128"/>
        <v>0</v>
      </c>
      <c r="AW271" s="1794">
        <f t="shared" si="129"/>
        <v>0</v>
      </c>
      <c r="AX271" s="1794">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7"/>
      <c r="AV272" s="1794">
        <f t="shared" si="128"/>
        <v>0</v>
      </c>
      <c r="AW272" s="1794">
        <f t="shared" si="129"/>
        <v>0</v>
      </c>
      <c r="AX272" s="1794">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7"/>
      <c r="AV273" s="1794">
        <f t="shared" si="128"/>
        <v>0</v>
      </c>
      <c r="AW273" s="1794">
        <f t="shared" si="129"/>
        <v>0</v>
      </c>
      <c r="AX273" s="1794">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7"/>
      <c r="AV274" s="1794">
        <f t="shared" si="128"/>
        <v>0</v>
      </c>
      <c r="AW274" s="1794">
        <f t="shared" si="129"/>
        <v>0</v>
      </c>
      <c r="AX274" s="1794">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7"/>
      <c r="AV275" s="1794">
        <f t="shared" si="128"/>
        <v>0</v>
      </c>
      <c r="AW275" s="1794">
        <f t="shared" si="129"/>
        <v>0</v>
      </c>
      <c r="AX275" s="1794">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7"/>
      <c r="AV276" s="1794">
        <f t="shared" si="128"/>
        <v>0</v>
      </c>
      <c r="AW276" s="1794">
        <f t="shared" si="129"/>
        <v>0</v>
      </c>
      <c r="AX276" s="1794">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7"/>
      <c r="AV277" s="1794">
        <f t="shared" si="128"/>
        <v>0</v>
      </c>
      <c r="AW277" s="1794">
        <f t="shared" si="129"/>
        <v>0</v>
      </c>
      <c r="AX277" s="1794">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7"/>
      <c r="AV278" s="1794">
        <f t="shared" si="128"/>
        <v>0</v>
      </c>
      <c r="AW278" s="1794">
        <f t="shared" si="129"/>
        <v>0</v>
      </c>
      <c r="AX278" s="1794">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7"/>
      <c r="AV279" s="1794">
        <f t="shared" si="128"/>
        <v>0</v>
      </c>
      <c r="AW279" s="1794">
        <f t="shared" si="129"/>
        <v>0</v>
      </c>
      <c r="AX279" s="1794">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7"/>
      <c r="AV280" s="1794">
        <f t="shared" si="128"/>
        <v>0</v>
      </c>
      <c r="AW280" s="1794">
        <f t="shared" si="129"/>
        <v>0</v>
      </c>
      <c r="AX280" s="1794">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7"/>
      <c r="AV281" s="1794">
        <f t="shared" si="128"/>
        <v>0</v>
      </c>
      <c r="AW281" s="1794">
        <f t="shared" si="129"/>
        <v>0</v>
      </c>
      <c r="AX281" s="1794">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7"/>
      <c r="AV282" s="1794">
        <f t="shared" si="128"/>
        <v>0</v>
      </c>
      <c r="AW282" s="1794">
        <f t="shared" si="129"/>
        <v>0</v>
      </c>
      <c r="AX282" s="1794">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7"/>
      <c r="AV283" s="1794">
        <f t="shared" si="128"/>
        <v>0</v>
      </c>
      <c r="AW283" s="1794">
        <f t="shared" si="129"/>
        <v>0</v>
      </c>
      <c r="AX283" s="1794">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7"/>
      <c r="AV284" s="1794">
        <f t="shared" si="128"/>
        <v>0</v>
      </c>
      <c r="AW284" s="1794">
        <f t="shared" si="129"/>
        <v>0</v>
      </c>
      <c r="AX284" s="1794">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7"/>
      <c r="AV285" s="1794">
        <f t="shared" si="128"/>
        <v>0</v>
      </c>
      <c r="AW285" s="1794">
        <f t="shared" si="129"/>
        <v>0</v>
      </c>
      <c r="AX285" s="1794">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7"/>
      <c r="AV286" s="1794">
        <f t="shared" si="128"/>
        <v>0</v>
      </c>
      <c r="AW286" s="1794">
        <f t="shared" si="129"/>
        <v>0</v>
      </c>
      <c r="AX286" s="1794">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7"/>
      <c r="AV287" s="1794">
        <f t="shared" si="128"/>
        <v>0</v>
      </c>
      <c r="AW287" s="1794">
        <f t="shared" si="129"/>
        <v>0</v>
      </c>
      <c r="AX287" s="1794">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7"/>
      <c r="AV288" s="1794">
        <f t="shared" si="128"/>
        <v>0</v>
      </c>
      <c r="AW288" s="1794">
        <f t="shared" si="129"/>
        <v>0</v>
      </c>
      <c r="AX288" s="1794">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7"/>
      <c r="AV289" s="1794">
        <f t="shared" si="128"/>
        <v>0</v>
      </c>
      <c r="AW289" s="1794">
        <f t="shared" si="129"/>
        <v>0</v>
      </c>
      <c r="AX289" s="1794">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7"/>
      <c r="AV290" s="1794">
        <f t="shared" si="128"/>
        <v>0</v>
      </c>
      <c r="AW290" s="1794">
        <f t="shared" si="129"/>
        <v>0</v>
      </c>
      <c r="AX290" s="1794">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7"/>
      <c r="AV291" s="1794">
        <f t="shared" si="128"/>
        <v>0</v>
      </c>
      <c r="AW291" s="1794">
        <f t="shared" si="129"/>
        <v>0</v>
      </c>
      <c r="AX291" s="1794">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7"/>
      <c r="AV292" s="1794">
        <f t="shared" si="128"/>
        <v>0</v>
      </c>
      <c r="AW292" s="1794">
        <f t="shared" si="129"/>
        <v>0</v>
      </c>
      <c r="AX292" s="1794">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7"/>
      <c r="AV293" s="1794">
        <f t="shared" si="128"/>
        <v>0</v>
      </c>
      <c r="AW293" s="1794">
        <f t="shared" si="129"/>
        <v>0</v>
      </c>
      <c r="AX293" s="1794">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7"/>
      <c r="AV294" s="1794">
        <f t="shared" si="128"/>
        <v>0</v>
      </c>
      <c r="AW294" s="1794">
        <f t="shared" si="129"/>
        <v>0</v>
      </c>
      <c r="AX294" s="1794">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7"/>
      <c r="AV295" s="1794">
        <f t="shared" si="128"/>
        <v>0</v>
      </c>
      <c r="AW295" s="1794">
        <f t="shared" si="129"/>
        <v>0</v>
      </c>
      <c r="AX295" s="1794">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7"/>
      <c r="AV296" s="1794">
        <f t="shared" si="128"/>
        <v>0</v>
      </c>
      <c r="AW296" s="1794">
        <f t="shared" si="129"/>
        <v>0</v>
      </c>
      <c r="AX296" s="1794">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7"/>
      <c r="AV297" s="1794">
        <f t="shared" si="128"/>
        <v>0</v>
      </c>
      <c r="AW297" s="1794">
        <f t="shared" si="129"/>
        <v>0</v>
      </c>
      <c r="AX297" s="1794">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7"/>
      <c r="AV298" s="1794">
        <f t="shared" si="128"/>
        <v>0</v>
      </c>
      <c r="AW298" s="1794">
        <f t="shared" si="129"/>
        <v>0</v>
      </c>
      <c r="AX298" s="1794">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7"/>
      <c r="AV299" s="1794">
        <f t="shared" si="128"/>
        <v>0</v>
      </c>
      <c r="AW299" s="1794">
        <f t="shared" si="129"/>
        <v>0</v>
      </c>
      <c r="AX299" s="1794">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8"/>
        <v>0</v>
      </c>
      <c r="AW300" s="1794">
        <f t="shared" si="129"/>
        <v>0</v>
      </c>
      <c r="AX300" s="1794">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2"/>
      <c r="AV301" s="1794">
        <f t="shared" si="128"/>
        <v>0</v>
      </c>
      <c r="AW301" s="1794">
        <f t="shared" si="129"/>
        <v>0</v>
      </c>
      <c r="AX301" s="1794">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2"/>
      <c r="AV302" s="1794">
        <f t="shared" si="128"/>
        <v>0</v>
      </c>
      <c r="AW302" s="1794">
        <f t="shared" si="129"/>
        <v>0</v>
      </c>
      <c r="AX302" s="1794">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9">A303</f>
        <v>0</v>
      </c>
      <c r="AW303" s="1794">
        <f t="shared" ref="AW303:AW334" si="180">B303</f>
        <v>0</v>
      </c>
      <c r="AX303" s="1794">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7"/>
      <c r="AV304" s="1794">
        <f t="shared" si="179"/>
        <v>0</v>
      </c>
      <c r="AW304" s="1794">
        <f t="shared" si="180"/>
        <v>0</v>
      </c>
      <c r="AX304" s="1794">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7"/>
      <c r="AV305" s="1794">
        <f t="shared" si="179"/>
        <v>0</v>
      </c>
      <c r="AW305" s="1794">
        <f t="shared" si="180"/>
        <v>0</v>
      </c>
      <c r="AX305" s="1794">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7"/>
      <c r="AV306" s="1794">
        <f t="shared" si="179"/>
        <v>0</v>
      </c>
      <c r="AW306" s="1794">
        <f t="shared" si="180"/>
        <v>0</v>
      </c>
      <c r="AX306" s="1794">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7"/>
      <c r="AV307" s="1794">
        <f t="shared" si="179"/>
        <v>0</v>
      </c>
      <c r="AW307" s="1794">
        <f t="shared" si="180"/>
        <v>0</v>
      </c>
      <c r="AX307" s="1794">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7"/>
      <c r="AV308" s="1794">
        <f t="shared" si="179"/>
        <v>0</v>
      </c>
      <c r="AW308" s="1794">
        <f t="shared" si="180"/>
        <v>0</v>
      </c>
      <c r="AX308" s="1794">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7"/>
      <c r="AV309" s="1794">
        <f t="shared" si="179"/>
        <v>0</v>
      </c>
      <c r="AW309" s="1794">
        <f t="shared" si="180"/>
        <v>0</v>
      </c>
      <c r="AX309" s="1794">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7"/>
      <c r="AV310" s="1794">
        <f t="shared" si="179"/>
        <v>0</v>
      </c>
      <c r="AW310" s="1794">
        <f t="shared" si="180"/>
        <v>0</v>
      </c>
      <c r="AX310" s="1794">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7"/>
      <c r="AV311" s="1794">
        <f t="shared" si="179"/>
        <v>0</v>
      </c>
      <c r="AW311" s="1794">
        <f t="shared" si="180"/>
        <v>0</v>
      </c>
      <c r="AX311" s="1794">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7"/>
      <c r="AV312" s="1794">
        <f t="shared" si="179"/>
        <v>0</v>
      </c>
      <c r="AW312" s="1794">
        <f t="shared" si="180"/>
        <v>0</v>
      </c>
      <c r="AX312" s="1794">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7"/>
      <c r="AV313" s="1794">
        <f t="shared" si="179"/>
        <v>0</v>
      </c>
      <c r="AW313" s="1794">
        <f t="shared" si="180"/>
        <v>0</v>
      </c>
      <c r="AX313" s="1794">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7"/>
      <c r="AV314" s="1794">
        <f t="shared" si="179"/>
        <v>0</v>
      </c>
      <c r="AW314" s="1794">
        <f t="shared" si="180"/>
        <v>0</v>
      </c>
      <c r="AX314" s="1794">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7"/>
      <c r="AV315" s="1794">
        <f t="shared" si="179"/>
        <v>0</v>
      </c>
      <c r="AW315" s="1794">
        <f t="shared" si="180"/>
        <v>0</v>
      </c>
      <c r="AX315" s="1794">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7"/>
      <c r="AV316" s="1794">
        <f t="shared" si="179"/>
        <v>0</v>
      </c>
      <c r="AW316" s="1794">
        <f t="shared" si="180"/>
        <v>0</v>
      </c>
      <c r="AX316" s="1794">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7"/>
      <c r="AV317" s="1794">
        <f t="shared" si="179"/>
        <v>0</v>
      </c>
      <c r="AW317" s="1794">
        <f t="shared" si="180"/>
        <v>0</v>
      </c>
      <c r="AX317" s="1794">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7"/>
      <c r="AV318" s="1794">
        <f t="shared" si="179"/>
        <v>0</v>
      </c>
      <c r="AW318" s="1794">
        <f t="shared" si="180"/>
        <v>0</v>
      </c>
      <c r="AX318" s="1794">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7"/>
      <c r="AV319" s="1794">
        <f t="shared" si="179"/>
        <v>0</v>
      </c>
      <c r="AW319" s="1794">
        <f t="shared" si="180"/>
        <v>0</v>
      </c>
      <c r="AX319" s="1794">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7"/>
      <c r="AV320" s="1794">
        <f t="shared" si="179"/>
        <v>0</v>
      </c>
      <c r="AW320" s="1794">
        <f t="shared" si="180"/>
        <v>0</v>
      </c>
      <c r="AX320" s="1794">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7"/>
      <c r="AV321" s="1794">
        <f t="shared" si="179"/>
        <v>0</v>
      </c>
      <c r="AW321" s="1794">
        <f t="shared" si="180"/>
        <v>0</v>
      </c>
      <c r="AX321" s="1794">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7"/>
      <c r="AV322" s="1794">
        <f t="shared" si="179"/>
        <v>0</v>
      </c>
      <c r="AW322" s="1794">
        <f t="shared" si="180"/>
        <v>0</v>
      </c>
      <c r="AX322" s="1794">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7"/>
      <c r="AV323" s="1794">
        <f t="shared" si="179"/>
        <v>0</v>
      </c>
      <c r="AW323" s="1794">
        <f t="shared" si="180"/>
        <v>0</v>
      </c>
      <c r="AX323" s="1794">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7"/>
      <c r="AV324" s="1794">
        <f t="shared" si="179"/>
        <v>0</v>
      </c>
      <c r="AW324" s="1794">
        <f t="shared" si="180"/>
        <v>0</v>
      </c>
      <c r="AX324" s="1794">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7"/>
      <c r="AV325" s="1794">
        <f t="shared" si="179"/>
        <v>0</v>
      </c>
      <c r="AW325" s="1794">
        <f t="shared" si="180"/>
        <v>0</v>
      </c>
      <c r="AX325" s="1794">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7"/>
      <c r="AV326" s="1794">
        <f t="shared" si="179"/>
        <v>0</v>
      </c>
      <c r="AW326" s="1794">
        <f t="shared" si="180"/>
        <v>0</v>
      </c>
      <c r="AX326" s="1794">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7"/>
      <c r="AV327" s="1794">
        <f t="shared" si="179"/>
        <v>0</v>
      </c>
      <c r="AW327" s="1794">
        <f t="shared" si="180"/>
        <v>0</v>
      </c>
      <c r="AX327" s="1794">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7"/>
      <c r="AV328" s="1794">
        <f t="shared" si="179"/>
        <v>0</v>
      </c>
      <c r="AW328" s="1794">
        <f t="shared" si="180"/>
        <v>0</v>
      </c>
      <c r="AX328" s="1794">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7"/>
      <c r="AV329" s="1794">
        <f t="shared" si="179"/>
        <v>0</v>
      </c>
      <c r="AW329" s="1794">
        <f t="shared" si="180"/>
        <v>0</v>
      </c>
      <c r="AX329" s="1794">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7"/>
      <c r="AV330" s="1794">
        <f t="shared" si="179"/>
        <v>0</v>
      </c>
      <c r="AW330" s="1794">
        <f t="shared" si="180"/>
        <v>0</v>
      </c>
      <c r="AX330" s="1794">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7"/>
      <c r="AV331" s="1794">
        <f t="shared" si="179"/>
        <v>0</v>
      </c>
      <c r="AW331" s="1794">
        <f t="shared" si="180"/>
        <v>0</v>
      </c>
      <c r="AX331" s="1794">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9"/>
        <v>0</v>
      </c>
      <c r="AW332" s="1794">
        <f t="shared" si="180"/>
        <v>0</v>
      </c>
      <c r="AX332" s="1794">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7"/>
      <c r="AV333" s="1794">
        <f t="shared" si="179"/>
        <v>0</v>
      </c>
      <c r="AW333" s="1794">
        <f t="shared" si="180"/>
        <v>0</v>
      </c>
      <c r="AX333" s="1794">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7"/>
      <c r="AV334" s="1794">
        <f t="shared" si="179"/>
        <v>0</v>
      </c>
      <c r="AW334" s="1794">
        <f t="shared" si="180"/>
        <v>0</v>
      </c>
      <c r="AX334" s="1794">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8">A335</f>
        <v>0</v>
      </c>
      <c r="AW335" s="1794">
        <f t="shared" ref="AW335:AW366" si="209">B335</f>
        <v>0</v>
      </c>
      <c r="AX335" s="1794">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7"/>
      <c r="AV336" s="1794">
        <f t="shared" si="208"/>
        <v>0</v>
      </c>
      <c r="AW336" s="1794">
        <f t="shared" si="209"/>
        <v>0</v>
      </c>
      <c r="AX336" s="1794">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7"/>
      <c r="AV337" s="1794">
        <f t="shared" si="208"/>
        <v>0</v>
      </c>
      <c r="AW337" s="1794">
        <f t="shared" si="209"/>
        <v>0</v>
      </c>
      <c r="AX337" s="1794">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7"/>
      <c r="AV338" s="1794">
        <f t="shared" si="208"/>
        <v>0</v>
      </c>
      <c r="AW338" s="1794">
        <f t="shared" si="209"/>
        <v>0</v>
      </c>
      <c r="AX338" s="1794">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7"/>
      <c r="AV339" s="1794">
        <f t="shared" si="208"/>
        <v>0</v>
      </c>
      <c r="AW339" s="1794">
        <f t="shared" si="209"/>
        <v>0</v>
      </c>
      <c r="AX339" s="1794">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7"/>
      <c r="AV340" s="1794">
        <f t="shared" si="208"/>
        <v>0</v>
      </c>
      <c r="AW340" s="1794">
        <f t="shared" si="209"/>
        <v>0</v>
      </c>
      <c r="AX340" s="1794">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7"/>
      <c r="AV341" s="1794">
        <f t="shared" si="208"/>
        <v>0</v>
      </c>
      <c r="AW341" s="1794">
        <f t="shared" si="209"/>
        <v>0</v>
      </c>
      <c r="AX341" s="1794">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7"/>
      <c r="AV342" s="1794">
        <f t="shared" si="208"/>
        <v>0</v>
      </c>
      <c r="AW342" s="1794">
        <f t="shared" si="209"/>
        <v>0</v>
      </c>
      <c r="AX342" s="1794">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7"/>
      <c r="AV343" s="1794">
        <f t="shared" si="208"/>
        <v>0</v>
      </c>
      <c r="AW343" s="1794">
        <f t="shared" si="209"/>
        <v>0</v>
      </c>
      <c r="AX343" s="1794">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7"/>
      <c r="AV344" s="1794">
        <f t="shared" si="208"/>
        <v>0</v>
      </c>
      <c r="AW344" s="1794">
        <f t="shared" si="209"/>
        <v>0</v>
      </c>
      <c r="AX344" s="1794">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7"/>
      <c r="AV345" s="1794">
        <f t="shared" si="208"/>
        <v>0</v>
      </c>
      <c r="AW345" s="1794">
        <f t="shared" si="209"/>
        <v>0</v>
      </c>
      <c r="AX345" s="1794">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7"/>
      <c r="AV346" s="1794">
        <f t="shared" si="208"/>
        <v>0</v>
      </c>
      <c r="AW346" s="1794">
        <f t="shared" si="209"/>
        <v>0</v>
      </c>
      <c r="AX346" s="1794">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7"/>
      <c r="AV347" s="1794">
        <f t="shared" si="208"/>
        <v>0</v>
      </c>
      <c r="AW347" s="1794">
        <f t="shared" si="209"/>
        <v>0</v>
      </c>
      <c r="AX347" s="1794">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7"/>
      <c r="AV348" s="1794">
        <f t="shared" si="208"/>
        <v>0</v>
      </c>
      <c r="AW348" s="1794">
        <f t="shared" si="209"/>
        <v>0</v>
      </c>
      <c r="AX348" s="1794">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7"/>
      <c r="AV349" s="1794">
        <f t="shared" si="208"/>
        <v>0</v>
      </c>
      <c r="AW349" s="1794">
        <f t="shared" si="209"/>
        <v>0</v>
      </c>
      <c r="AX349" s="1794">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7"/>
      <c r="AV350" s="1794">
        <f t="shared" si="208"/>
        <v>0</v>
      </c>
      <c r="AW350" s="1794">
        <f t="shared" si="209"/>
        <v>0</v>
      </c>
      <c r="AX350" s="1794">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7"/>
      <c r="AV351" s="1794">
        <f t="shared" si="208"/>
        <v>0</v>
      </c>
      <c r="AW351" s="1794">
        <f t="shared" si="209"/>
        <v>0</v>
      </c>
      <c r="AX351" s="1794">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7"/>
      <c r="AV352" s="1794">
        <f t="shared" si="208"/>
        <v>0</v>
      </c>
      <c r="AW352" s="1794">
        <f t="shared" si="209"/>
        <v>0</v>
      </c>
      <c r="AX352" s="1794">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7"/>
      <c r="AV353" s="1794">
        <f t="shared" si="208"/>
        <v>0</v>
      </c>
      <c r="AW353" s="1794">
        <f t="shared" si="209"/>
        <v>0</v>
      </c>
      <c r="AX353" s="1794">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7"/>
      <c r="AV354" s="1794">
        <f t="shared" si="208"/>
        <v>0</v>
      </c>
      <c r="AW354" s="1794">
        <f t="shared" si="209"/>
        <v>0</v>
      </c>
      <c r="AX354" s="1794">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7"/>
      <c r="AV355" s="1794">
        <f t="shared" si="208"/>
        <v>0</v>
      </c>
      <c r="AW355" s="1794">
        <f t="shared" si="209"/>
        <v>0</v>
      </c>
      <c r="AX355" s="1794">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7"/>
      <c r="AV356" s="1794">
        <f t="shared" si="208"/>
        <v>0</v>
      </c>
      <c r="AW356" s="1794">
        <f t="shared" si="209"/>
        <v>0</v>
      </c>
      <c r="AX356" s="1794">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7"/>
      <c r="AV357" s="1794">
        <f t="shared" si="208"/>
        <v>0</v>
      </c>
      <c r="AW357" s="1794">
        <f t="shared" si="209"/>
        <v>0</v>
      </c>
      <c r="AX357" s="1794">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7"/>
      <c r="AV358" s="1794">
        <f t="shared" si="208"/>
        <v>0</v>
      </c>
      <c r="AW358" s="1794">
        <f t="shared" si="209"/>
        <v>0</v>
      </c>
      <c r="AX358" s="1794">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7"/>
      <c r="AV359" s="1794">
        <f t="shared" si="208"/>
        <v>0</v>
      </c>
      <c r="AW359" s="1794">
        <f t="shared" si="209"/>
        <v>0</v>
      </c>
      <c r="AX359" s="1794">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7"/>
      <c r="AV360" s="1794">
        <f t="shared" si="208"/>
        <v>0</v>
      </c>
      <c r="AW360" s="1794">
        <f t="shared" si="209"/>
        <v>0</v>
      </c>
      <c r="AX360" s="1794">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7"/>
      <c r="AV361" s="1794">
        <f t="shared" si="208"/>
        <v>0</v>
      </c>
      <c r="AW361" s="1794">
        <f t="shared" si="209"/>
        <v>0</v>
      </c>
      <c r="AX361" s="1794">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7"/>
      <c r="AV362" s="1794">
        <f t="shared" si="208"/>
        <v>0</v>
      </c>
      <c r="AW362" s="1794">
        <f t="shared" si="209"/>
        <v>0</v>
      </c>
      <c r="AX362" s="1794">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7"/>
      <c r="AV363" s="1794">
        <f t="shared" si="208"/>
        <v>0</v>
      </c>
      <c r="AW363" s="1794">
        <f t="shared" si="209"/>
        <v>0</v>
      </c>
      <c r="AX363" s="1794">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8"/>
        <v>0</v>
      </c>
      <c r="AW364" s="1794">
        <f t="shared" si="209"/>
        <v>0</v>
      </c>
      <c r="AX364" s="1794">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7"/>
      <c r="AV365" s="1794">
        <f t="shared" si="208"/>
        <v>0</v>
      </c>
      <c r="AW365" s="1794">
        <f t="shared" si="209"/>
        <v>0</v>
      </c>
      <c r="AX365" s="1794">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7"/>
      <c r="AV366" s="1794">
        <f t="shared" si="208"/>
        <v>0</v>
      </c>
      <c r="AW366" s="1794">
        <f t="shared" si="209"/>
        <v>0</v>
      </c>
      <c r="AX366" s="1794">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7">A367</f>
        <v>0</v>
      </c>
      <c r="AW367" s="1794">
        <f t="shared" ref="AW367:AW397" si="238">B367</f>
        <v>0</v>
      </c>
      <c r="AX367" s="1794">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7"/>
      <c r="AV368" s="1794">
        <f t="shared" si="237"/>
        <v>0</v>
      </c>
      <c r="AW368" s="1794">
        <f t="shared" si="238"/>
        <v>0</v>
      </c>
      <c r="AX368" s="1794">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7"/>
      <c r="AV369" s="1794">
        <f t="shared" si="237"/>
        <v>0</v>
      </c>
      <c r="AW369" s="1794">
        <f t="shared" si="238"/>
        <v>0</v>
      </c>
      <c r="AX369" s="1794">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7"/>
      <c r="AV370" s="1794">
        <f t="shared" si="237"/>
        <v>0</v>
      </c>
      <c r="AW370" s="1794">
        <f t="shared" si="238"/>
        <v>0</v>
      </c>
      <c r="AX370" s="1794">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7"/>
      <c r="AV371" s="1794">
        <f t="shared" si="237"/>
        <v>0</v>
      </c>
      <c r="AW371" s="1794">
        <f t="shared" si="238"/>
        <v>0</v>
      </c>
      <c r="AX371" s="1794">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7"/>
      <c r="AV372" s="1794">
        <f t="shared" si="237"/>
        <v>0</v>
      </c>
      <c r="AW372" s="1794">
        <f t="shared" si="238"/>
        <v>0</v>
      </c>
      <c r="AX372" s="1794">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7"/>
      <c r="AV373" s="1794">
        <f t="shared" si="237"/>
        <v>0</v>
      </c>
      <c r="AW373" s="1794">
        <f t="shared" si="238"/>
        <v>0</v>
      </c>
      <c r="AX373" s="1794">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7"/>
      <c r="AV374" s="1794">
        <f t="shared" si="237"/>
        <v>0</v>
      </c>
      <c r="AW374" s="1794">
        <f t="shared" si="238"/>
        <v>0</v>
      </c>
      <c r="AX374" s="1794">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7"/>
      <c r="AV375" s="1794">
        <f t="shared" si="237"/>
        <v>0</v>
      </c>
      <c r="AW375" s="1794">
        <f t="shared" si="238"/>
        <v>0</v>
      </c>
      <c r="AX375" s="1794">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7"/>
      <c r="AV376" s="1794">
        <f t="shared" si="237"/>
        <v>0</v>
      </c>
      <c r="AW376" s="1794">
        <f t="shared" si="238"/>
        <v>0</v>
      </c>
      <c r="AX376" s="1794">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7"/>
      <c r="AV377" s="1794">
        <f t="shared" si="237"/>
        <v>0</v>
      </c>
      <c r="AW377" s="1794">
        <f t="shared" si="238"/>
        <v>0</v>
      </c>
      <c r="AX377" s="1794">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7"/>
      <c r="AV378" s="1794">
        <f t="shared" si="237"/>
        <v>0</v>
      </c>
      <c r="AW378" s="1794">
        <f t="shared" si="238"/>
        <v>0</v>
      </c>
      <c r="AX378" s="1794">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7"/>
      <c r="AV379" s="1794">
        <f t="shared" si="237"/>
        <v>0</v>
      </c>
      <c r="AW379" s="1794">
        <f t="shared" si="238"/>
        <v>0</v>
      </c>
      <c r="AX379" s="1794">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7"/>
      <c r="AV380" s="1794">
        <f t="shared" si="237"/>
        <v>0</v>
      </c>
      <c r="AW380" s="1794">
        <f t="shared" si="238"/>
        <v>0</v>
      </c>
      <c r="AX380" s="1794">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7"/>
      <c r="AV381" s="1794">
        <f t="shared" si="237"/>
        <v>0</v>
      </c>
      <c r="AW381" s="1794">
        <f t="shared" si="238"/>
        <v>0</v>
      </c>
      <c r="AX381" s="1794">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7"/>
      <c r="AV382" s="1794">
        <f t="shared" si="237"/>
        <v>0</v>
      </c>
      <c r="AW382" s="1794">
        <f t="shared" si="238"/>
        <v>0</v>
      </c>
      <c r="AX382" s="1794">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7"/>
      <c r="AV383" s="1794">
        <f t="shared" si="237"/>
        <v>0</v>
      </c>
      <c r="AW383" s="1794">
        <f t="shared" si="238"/>
        <v>0</v>
      </c>
      <c r="AX383" s="1794">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7"/>
      <c r="AV384" s="1794">
        <f t="shared" si="237"/>
        <v>0</v>
      </c>
      <c r="AW384" s="1794">
        <f t="shared" si="238"/>
        <v>0</v>
      </c>
      <c r="AX384" s="1794">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7"/>
      <c r="AV385" s="1794">
        <f t="shared" si="237"/>
        <v>0</v>
      </c>
      <c r="AW385" s="1794">
        <f t="shared" si="238"/>
        <v>0</v>
      </c>
      <c r="AX385" s="1794">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7"/>
      <c r="AV386" s="1794">
        <f t="shared" si="237"/>
        <v>0</v>
      </c>
      <c r="AW386" s="1794">
        <f t="shared" si="238"/>
        <v>0</v>
      </c>
      <c r="AX386" s="1794">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7"/>
      <c r="AV387" s="1794">
        <f t="shared" si="237"/>
        <v>0</v>
      </c>
      <c r="AW387" s="1794">
        <f t="shared" si="238"/>
        <v>0</v>
      </c>
      <c r="AX387" s="1794">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7"/>
      <c r="AV388" s="1794">
        <f t="shared" si="237"/>
        <v>0</v>
      </c>
      <c r="AW388" s="1794">
        <f t="shared" si="238"/>
        <v>0</v>
      </c>
      <c r="AX388" s="1794">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7"/>
      <c r="AV389" s="1794">
        <f t="shared" si="237"/>
        <v>0</v>
      </c>
      <c r="AW389" s="1794">
        <f t="shared" si="238"/>
        <v>0</v>
      </c>
      <c r="AX389" s="1794">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7"/>
      <c r="AV390" s="1794">
        <f t="shared" si="237"/>
        <v>0</v>
      </c>
      <c r="AW390" s="1794">
        <f t="shared" si="238"/>
        <v>0</v>
      </c>
      <c r="AX390" s="1794">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7"/>
      <c r="AV391" s="1794">
        <f t="shared" si="237"/>
        <v>0</v>
      </c>
      <c r="AW391" s="1794">
        <f t="shared" si="238"/>
        <v>0</v>
      </c>
      <c r="AX391" s="1794">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7"/>
      <c r="AV392" s="1794">
        <f t="shared" si="237"/>
        <v>0</v>
      </c>
      <c r="AW392" s="1794">
        <f t="shared" si="238"/>
        <v>0</v>
      </c>
      <c r="AX392" s="1794">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7"/>
      <c r="AV393" s="1794">
        <f t="shared" si="237"/>
        <v>0</v>
      </c>
      <c r="AW393" s="1794">
        <f t="shared" si="238"/>
        <v>0</v>
      </c>
      <c r="AX393" s="1794">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7"/>
      <c r="AV394" s="1794">
        <f t="shared" si="237"/>
        <v>0</v>
      </c>
      <c r="AW394" s="1794">
        <f t="shared" si="238"/>
        <v>0</v>
      </c>
      <c r="AX394" s="1794">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2"/>
      <c r="AV395" s="1794">
        <f t="shared" si="237"/>
        <v>0</v>
      </c>
      <c r="AW395" s="1794">
        <f t="shared" si="238"/>
        <v>0</v>
      </c>
      <c r="AX395" s="1794">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7"/>
        <v>0</v>
      </c>
      <c r="AW396" s="1794">
        <f t="shared" si="238"/>
        <v>0</v>
      </c>
      <c r="AX396" s="1794">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7"/>
        <v>0</v>
      </c>
      <c r="AW397" s="1794">
        <f t="shared" si="238"/>
        <v>0</v>
      </c>
      <c r="AX397" s="1794">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4">A398</f>
        <v>0</v>
      </c>
      <c r="AW398" s="1794">
        <f t="shared" ref="AW398:AW492" si="245">B398</f>
        <v>0</v>
      </c>
      <c r="AX398" s="1794">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7"/>
      <c r="AV399" s="1794">
        <f t="shared" si="244"/>
        <v>0</v>
      </c>
      <c r="AW399" s="1794">
        <f t="shared" si="245"/>
        <v>0</v>
      </c>
      <c r="AX399" s="1794">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7"/>
      <c r="AV400" s="1794">
        <f t="shared" si="244"/>
        <v>0</v>
      </c>
      <c r="AW400" s="1794">
        <f t="shared" si="245"/>
        <v>0</v>
      </c>
      <c r="AX400" s="1794">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7"/>
      <c r="AV401" s="1794">
        <f t="shared" si="244"/>
        <v>0</v>
      </c>
      <c r="AW401" s="1794">
        <f t="shared" si="245"/>
        <v>0</v>
      </c>
      <c r="AX401" s="1794">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7"/>
      <c r="AV402" s="1794">
        <f t="shared" si="244"/>
        <v>0</v>
      </c>
      <c r="AW402" s="1794">
        <f t="shared" si="245"/>
        <v>0</v>
      </c>
      <c r="AX402" s="1794">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7"/>
      <c r="AV403" s="1794">
        <f t="shared" si="244"/>
        <v>0</v>
      </c>
      <c r="AW403" s="1794">
        <f t="shared" si="245"/>
        <v>0</v>
      </c>
      <c r="AX403" s="1794">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7"/>
      <c r="AV404" s="1794">
        <f t="shared" si="244"/>
        <v>0</v>
      </c>
      <c r="AW404" s="1794">
        <f t="shared" si="245"/>
        <v>0</v>
      </c>
      <c r="AX404" s="1794">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7"/>
      <c r="AV405" s="1794">
        <f t="shared" si="244"/>
        <v>0</v>
      </c>
      <c r="AW405" s="1794">
        <f t="shared" si="245"/>
        <v>0</v>
      </c>
      <c r="AX405" s="1794">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7"/>
      <c r="AV406" s="1794">
        <f t="shared" si="244"/>
        <v>0</v>
      </c>
      <c r="AW406" s="1794">
        <f t="shared" si="245"/>
        <v>0</v>
      </c>
      <c r="AX406" s="1794">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7"/>
      <c r="AV407" s="1794">
        <f t="shared" si="244"/>
        <v>0</v>
      </c>
      <c r="AW407" s="1794">
        <f t="shared" si="245"/>
        <v>0</v>
      </c>
      <c r="AX407" s="1794">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7"/>
      <c r="AV408" s="1794">
        <f t="shared" si="244"/>
        <v>0</v>
      </c>
      <c r="AW408" s="1794">
        <f t="shared" si="245"/>
        <v>0</v>
      </c>
      <c r="AX408" s="1794">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7"/>
      <c r="AV409" s="1794">
        <f t="shared" si="244"/>
        <v>0</v>
      </c>
      <c r="AW409" s="1794">
        <f t="shared" si="245"/>
        <v>0</v>
      </c>
      <c r="AX409" s="1794">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7"/>
      <c r="AV410" s="1794">
        <f t="shared" si="244"/>
        <v>0</v>
      </c>
      <c r="AW410" s="1794">
        <f t="shared" si="245"/>
        <v>0</v>
      </c>
      <c r="AX410" s="1794">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7"/>
      <c r="AV411" s="1794">
        <f t="shared" si="244"/>
        <v>0</v>
      </c>
      <c r="AW411" s="1794">
        <f t="shared" si="245"/>
        <v>0</v>
      </c>
      <c r="AX411" s="1794">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7"/>
      <c r="AV412" s="1794">
        <f t="shared" si="244"/>
        <v>0</v>
      </c>
      <c r="AW412" s="1794">
        <f t="shared" si="245"/>
        <v>0</v>
      </c>
      <c r="AX412" s="1794">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7"/>
      <c r="AV413" s="1794">
        <f t="shared" si="244"/>
        <v>0</v>
      </c>
      <c r="AW413" s="1794">
        <f t="shared" si="245"/>
        <v>0</v>
      </c>
      <c r="AX413" s="1794">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7"/>
      <c r="AV414" s="1794">
        <f t="shared" si="244"/>
        <v>0</v>
      </c>
      <c r="AW414" s="1794">
        <f t="shared" si="245"/>
        <v>0</v>
      </c>
      <c r="AX414" s="1794">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7"/>
      <c r="AV415" s="1794">
        <f t="shared" si="244"/>
        <v>0</v>
      </c>
      <c r="AW415" s="1794">
        <f t="shared" si="245"/>
        <v>0</v>
      </c>
      <c r="AX415" s="1794">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7"/>
      <c r="AV416" s="1794">
        <f t="shared" si="244"/>
        <v>0</v>
      </c>
      <c r="AW416" s="1794">
        <f t="shared" si="245"/>
        <v>0</v>
      </c>
      <c r="AX416" s="1794">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7"/>
      <c r="AV417" s="1794">
        <f t="shared" si="244"/>
        <v>0</v>
      </c>
      <c r="AW417" s="1794">
        <f t="shared" si="245"/>
        <v>0</v>
      </c>
      <c r="AX417" s="1794">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7"/>
      <c r="AV418" s="1794">
        <f t="shared" si="244"/>
        <v>0</v>
      </c>
      <c r="AW418" s="1794">
        <f t="shared" si="245"/>
        <v>0</v>
      </c>
      <c r="AX418" s="1794">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7"/>
      <c r="AV419" s="1794">
        <f t="shared" si="244"/>
        <v>0</v>
      </c>
      <c r="AW419" s="1794">
        <f t="shared" si="245"/>
        <v>0</v>
      </c>
      <c r="AX419" s="1794">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7"/>
      <c r="AV420" s="1794">
        <f t="shared" si="244"/>
        <v>0</v>
      </c>
      <c r="AW420" s="1794">
        <f t="shared" si="245"/>
        <v>0</v>
      </c>
      <c r="AX420" s="1794">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7"/>
      <c r="AV421" s="1794">
        <f t="shared" si="244"/>
        <v>0</v>
      </c>
      <c r="AW421" s="1794">
        <f t="shared" si="245"/>
        <v>0</v>
      </c>
      <c r="AX421" s="1794">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7"/>
      <c r="AV422" s="1794">
        <f t="shared" si="244"/>
        <v>0</v>
      </c>
      <c r="AW422" s="1794">
        <f t="shared" si="245"/>
        <v>0</v>
      </c>
      <c r="AX422" s="1794">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7"/>
      <c r="AV423" s="1794">
        <f t="shared" si="244"/>
        <v>0</v>
      </c>
      <c r="AW423" s="1794">
        <f t="shared" si="245"/>
        <v>0</v>
      </c>
      <c r="AX423" s="1794">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7"/>
      <c r="AV424" s="1794">
        <f t="shared" si="244"/>
        <v>0</v>
      </c>
      <c r="AW424" s="1794">
        <f t="shared" si="245"/>
        <v>0</v>
      </c>
      <c r="AX424" s="1794">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7"/>
      <c r="AV425" s="1794">
        <f t="shared" si="244"/>
        <v>0</v>
      </c>
      <c r="AW425" s="1794">
        <f t="shared" si="245"/>
        <v>0</v>
      </c>
      <c r="AX425" s="1794">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7"/>
      <c r="AV426" s="1794">
        <f t="shared" si="244"/>
        <v>0</v>
      </c>
      <c r="AW426" s="1794">
        <f t="shared" si="245"/>
        <v>0</v>
      </c>
      <c r="AX426" s="1794">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7"/>
      <c r="AV427" s="1794">
        <f t="shared" si="244"/>
        <v>0</v>
      </c>
      <c r="AW427" s="1794">
        <f t="shared" si="245"/>
        <v>0</v>
      </c>
      <c r="AX427" s="1794">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7"/>
      <c r="AV428" s="1794">
        <f t="shared" si="244"/>
        <v>0</v>
      </c>
      <c r="AW428" s="1794">
        <f t="shared" si="245"/>
        <v>0</v>
      </c>
      <c r="AX428" s="1794">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7"/>
      <c r="AV429" s="1794">
        <f t="shared" si="244"/>
        <v>0</v>
      </c>
      <c r="AW429" s="1794">
        <f t="shared" si="245"/>
        <v>0</v>
      </c>
      <c r="AX429" s="1794">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7"/>
      <c r="AV430" s="1794">
        <f t="shared" si="244"/>
        <v>0</v>
      </c>
      <c r="AW430" s="1794">
        <f t="shared" si="245"/>
        <v>0</v>
      </c>
      <c r="AX430" s="1794">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7"/>
      <c r="AV431" s="1794">
        <f t="shared" si="244"/>
        <v>0</v>
      </c>
      <c r="AW431" s="1794">
        <f t="shared" si="245"/>
        <v>0</v>
      </c>
      <c r="AX431" s="1794">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7"/>
      <c r="AV432" s="1794">
        <f t="shared" si="244"/>
        <v>0</v>
      </c>
      <c r="AW432" s="1794">
        <f t="shared" si="245"/>
        <v>0</v>
      </c>
      <c r="AX432" s="1794">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7"/>
      <c r="AV433" s="1794">
        <f t="shared" si="244"/>
        <v>0</v>
      </c>
      <c r="AW433" s="1794">
        <f t="shared" si="245"/>
        <v>0</v>
      </c>
      <c r="AX433" s="1794">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7"/>
      <c r="AV434" s="1794">
        <f t="shared" si="244"/>
        <v>0</v>
      </c>
      <c r="AW434" s="1794">
        <f t="shared" si="245"/>
        <v>0</v>
      </c>
      <c r="AX434" s="1794">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7"/>
      <c r="AV435" s="1794">
        <f t="shared" si="244"/>
        <v>0</v>
      </c>
      <c r="AW435" s="1794">
        <f t="shared" si="245"/>
        <v>0</v>
      </c>
      <c r="AX435" s="1794">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7"/>
      <c r="AV436" s="1794">
        <f t="shared" si="244"/>
        <v>0</v>
      </c>
      <c r="AW436" s="1794">
        <f t="shared" si="245"/>
        <v>0</v>
      </c>
      <c r="AX436" s="1794">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7"/>
      <c r="AV437" s="1794">
        <f t="shared" si="244"/>
        <v>0</v>
      </c>
      <c r="AW437" s="1794">
        <f t="shared" si="245"/>
        <v>0</v>
      </c>
      <c r="AX437" s="1794">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7"/>
      <c r="AV438" s="1794">
        <f t="shared" si="244"/>
        <v>0</v>
      </c>
      <c r="AW438" s="1794">
        <f t="shared" si="245"/>
        <v>0</v>
      </c>
      <c r="AX438" s="1794">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7"/>
      <c r="AV439" s="1794">
        <f t="shared" si="244"/>
        <v>0</v>
      </c>
      <c r="AW439" s="1794">
        <f t="shared" si="245"/>
        <v>0</v>
      </c>
      <c r="AX439" s="1794">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7"/>
      <c r="AV440" s="1794">
        <f t="shared" si="244"/>
        <v>0</v>
      </c>
      <c r="AW440" s="1794">
        <f t="shared" si="245"/>
        <v>0</v>
      </c>
      <c r="AX440" s="1794">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7"/>
      <c r="AV441" s="1794">
        <f t="shared" si="244"/>
        <v>0</v>
      </c>
      <c r="AW441" s="1794">
        <f t="shared" si="245"/>
        <v>0</v>
      </c>
      <c r="AX441" s="1794">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7"/>
      <c r="AV442" s="1794">
        <f t="shared" si="244"/>
        <v>0</v>
      </c>
      <c r="AW442" s="1794">
        <f t="shared" si="245"/>
        <v>0</v>
      </c>
      <c r="AX442" s="1794">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7"/>
      <c r="AV443" s="1794">
        <f t="shared" si="244"/>
        <v>0</v>
      </c>
      <c r="AW443" s="1794">
        <f t="shared" si="245"/>
        <v>0</v>
      </c>
      <c r="AX443" s="1794">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7"/>
      <c r="AV444" s="1794">
        <f t="shared" si="244"/>
        <v>0</v>
      </c>
      <c r="AW444" s="1794">
        <f t="shared" si="245"/>
        <v>0</v>
      </c>
      <c r="AX444" s="1794">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7"/>
      <c r="AV445" s="1794">
        <f t="shared" si="244"/>
        <v>0</v>
      </c>
      <c r="AW445" s="1794">
        <f t="shared" si="245"/>
        <v>0</v>
      </c>
      <c r="AX445" s="1794">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7"/>
      <c r="AV446" s="1794">
        <f t="shared" si="244"/>
        <v>0</v>
      </c>
      <c r="AW446" s="1794">
        <f t="shared" si="245"/>
        <v>0</v>
      </c>
      <c r="AX446" s="1794">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7"/>
      <c r="AV447" s="1794">
        <f t="shared" si="244"/>
        <v>0</v>
      </c>
      <c r="AW447" s="1794">
        <f t="shared" si="245"/>
        <v>0</v>
      </c>
      <c r="AX447" s="1794">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7"/>
      <c r="AV448" s="1794">
        <f t="shared" si="244"/>
        <v>0</v>
      </c>
      <c r="AW448" s="1794">
        <f t="shared" si="245"/>
        <v>0</v>
      </c>
      <c r="AX448" s="1794">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7"/>
      <c r="AV449" s="1794">
        <f t="shared" si="244"/>
        <v>0</v>
      </c>
      <c r="AW449" s="1794">
        <f t="shared" si="245"/>
        <v>0</v>
      </c>
      <c r="AX449" s="1794">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7"/>
      <c r="AV450" s="1794">
        <f t="shared" si="244"/>
        <v>0</v>
      </c>
      <c r="AW450" s="1794">
        <f t="shared" si="245"/>
        <v>0</v>
      </c>
      <c r="AX450" s="1794">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7"/>
      <c r="AV451" s="1794">
        <f t="shared" si="244"/>
        <v>0</v>
      </c>
      <c r="AW451" s="1794">
        <f t="shared" si="245"/>
        <v>0</v>
      </c>
      <c r="AX451" s="1794">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7"/>
      <c r="AV452" s="1794">
        <f t="shared" si="244"/>
        <v>0</v>
      </c>
      <c r="AW452" s="1794">
        <f t="shared" si="245"/>
        <v>0</v>
      </c>
      <c r="AX452" s="1794">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7"/>
      <c r="AV453" s="1794">
        <f t="shared" si="244"/>
        <v>0</v>
      </c>
      <c r="AW453" s="1794">
        <f t="shared" si="245"/>
        <v>0</v>
      </c>
      <c r="AX453" s="1794">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7"/>
      <c r="AV454" s="1794">
        <f t="shared" si="244"/>
        <v>0</v>
      </c>
      <c r="AW454" s="1794">
        <f t="shared" si="245"/>
        <v>0</v>
      </c>
      <c r="AX454" s="1794">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7"/>
      <c r="AV455" s="1794">
        <f t="shared" si="244"/>
        <v>0</v>
      </c>
      <c r="AW455" s="1794">
        <f t="shared" si="245"/>
        <v>0</v>
      </c>
      <c r="AX455" s="1794">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7"/>
      <c r="AV456" s="1794">
        <f t="shared" si="244"/>
        <v>0</v>
      </c>
      <c r="AW456" s="1794">
        <f t="shared" si="245"/>
        <v>0</v>
      </c>
      <c r="AX456" s="1794">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7"/>
      <c r="AV457" s="1794">
        <f t="shared" si="244"/>
        <v>0</v>
      </c>
      <c r="AW457" s="1794">
        <f t="shared" si="245"/>
        <v>0</v>
      </c>
      <c r="AX457" s="1794">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7"/>
      <c r="AV458" s="1794">
        <f t="shared" si="244"/>
        <v>0</v>
      </c>
      <c r="AW458" s="1794">
        <f t="shared" si="245"/>
        <v>0</v>
      </c>
      <c r="AX458" s="1794">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7"/>
      <c r="AV459" s="1794">
        <f t="shared" si="244"/>
        <v>0</v>
      </c>
      <c r="AW459" s="1794">
        <f t="shared" si="245"/>
        <v>0</v>
      </c>
      <c r="AX459" s="1794">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7"/>
      <c r="AV460" s="1794">
        <f t="shared" si="244"/>
        <v>0</v>
      </c>
      <c r="AW460" s="1794">
        <f t="shared" si="245"/>
        <v>0</v>
      </c>
      <c r="AX460" s="1794">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7"/>
      <c r="AV461" s="1794">
        <f t="shared" si="244"/>
        <v>0</v>
      </c>
      <c r="AW461" s="1794">
        <f t="shared" si="245"/>
        <v>0</v>
      </c>
      <c r="AX461" s="1794">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7"/>
      <c r="AV462" s="1794">
        <f t="shared" si="244"/>
        <v>0</v>
      </c>
      <c r="AW462" s="1794">
        <f t="shared" si="245"/>
        <v>0</v>
      </c>
      <c r="AX462" s="1794">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7"/>
      <c r="AV463" s="1794">
        <f t="shared" si="244"/>
        <v>0</v>
      </c>
      <c r="AW463" s="1794">
        <f t="shared" si="245"/>
        <v>0</v>
      </c>
      <c r="AX463" s="1794">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7"/>
      <c r="AV464" s="1794">
        <f t="shared" si="244"/>
        <v>0</v>
      </c>
      <c r="AW464" s="1794">
        <f t="shared" si="245"/>
        <v>0</v>
      </c>
      <c r="AX464" s="1794">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7"/>
      <c r="AV465" s="1794">
        <f t="shared" si="244"/>
        <v>0</v>
      </c>
      <c r="AW465" s="1794">
        <f t="shared" si="245"/>
        <v>0</v>
      </c>
      <c r="AX465" s="1794">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7"/>
      <c r="AV466" s="1794">
        <f t="shared" si="244"/>
        <v>0</v>
      </c>
      <c r="AW466" s="1794">
        <f t="shared" si="245"/>
        <v>0</v>
      </c>
      <c r="AX466" s="1794">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7"/>
      <c r="AV467" s="1794">
        <f t="shared" si="244"/>
        <v>0</v>
      </c>
      <c r="AW467" s="1794">
        <f t="shared" si="245"/>
        <v>0</v>
      </c>
      <c r="AX467" s="1794">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7"/>
      <c r="AV468" s="1794">
        <f t="shared" si="244"/>
        <v>0</v>
      </c>
      <c r="AW468" s="1794">
        <f t="shared" si="245"/>
        <v>0</v>
      </c>
      <c r="AX468" s="1794">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7"/>
      <c r="AV469" s="1794">
        <f t="shared" si="244"/>
        <v>0</v>
      </c>
      <c r="AW469" s="1794">
        <f t="shared" si="245"/>
        <v>0</v>
      </c>
      <c r="AX469" s="1794">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7"/>
      <c r="AV470" s="1794">
        <f t="shared" si="244"/>
        <v>0</v>
      </c>
      <c r="AW470" s="1794">
        <f t="shared" si="245"/>
        <v>0</v>
      </c>
      <c r="AX470" s="1794">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7"/>
      <c r="AV471" s="1794">
        <f t="shared" si="244"/>
        <v>0</v>
      </c>
      <c r="AW471" s="1794">
        <f t="shared" si="245"/>
        <v>0</v>
      </c>
      <c r="AX471" s="1794">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7"/>
      <c r="AV472" s="1794">
        <f t="shared" si="244"/>
        <v>0</v>
      </c>
      <c r="AW472" s="1794">
        <f t="shared" si="245"/>
        <v>0</v>
      </c>
      <c r="AX472" s="1794">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7"/>
      <c r="AV473" s="1794">
        <f t="shared" si="244"/>
        <v>0</v>
      </c>
      <c r="AW473" s="1794">
        <f t="shared" si="245"/>
        <v>0</v>
      </c>
      <c r="AX473" s="1794">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7"/>
      <c r="AV474" s="1794">
        <f t="shared" si="244"/>
        <v>0</v>
      </c>
      <c r="AW474" s="1794">
        <f t="shared" si="245"/>
        <v>0</v>
      </c>
      <c r="AX474" s="1794">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7"/>
      <c r="AV475" s="1794">
        <f t="shared" si="244"/>
        <v>0</v>
      </c>
      <c r="AW475" s="1794">
        <f t="shared" si="245"/>
        <v>0</v>
      </c>
      <c r="AX475" s="1794">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7"/>
      <c r="AV476" s="1794">
        <f t="shared" si="244"/>
        <v>0</v>
      </c>
      <c r="AW476" s="1794">
        <f t="shared" si="245"/>
        <v>0</v>
      </c>
      <c r="AX476" s="1794">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7"/>
      <c r="AV477" s="1794">
        <f t="shared" si="244"/>
        <v>0</v>
      </c>
      <c r="AW477" s="1794">
        <f t="shared" si="245"/>
        <v>0</v>
      </c>
      <c r="AX477" s="1794">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7"/>
      <c r="AV478" s="1794">
        <f t="shared" si="244"/>
        <v>0</v>
      </c>
      <c r="AW478" s="1794">
        <f t="shared" si="245"/>
        <v>0</v>
      </c>
      <c r="AX478" s="1794">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7"/>
      <c r="AV479" s="1794">
        <f t="shared" si="244"/>
        <v>0</v>
      </c>
      <c r="AW479" s="1794">
        <f t="shared" si="245"/>
        <v>0</v>
      </c>
      <c r="AX479" s="1794">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7"/>
      <c r="AV480" s="1794">
        <f t="shared" si="244"/>
        <v>0</v>
      </c>
      <c r="AW480" s="1794">
        <f t="shared" si="245"/>
        <v>0</v>
      </c>
      <c r="AX480" s="1794">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7"/>
      <c r="AV481" s="1794">
        <f t="shared" si="244"/>
        <v>0</v>
      </c>
      <c r="AW481" s="1794">
        <f t="shared" si="245"/>
        <v>0</v>
      </c>
      <c r="AX481" s="1794">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7"/>
      <c r="AV482" s="1794">
        <f t="shared" si="244"/>
        <v>0</v>
      </c>
      <c r="AW482" s="1794">
        <f t="shared" si="245"/>
        <v>0</v>
      </c>
      <c r="AX482" s="1794">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7"/>
      <c r="AV483" s="1794">
        <f t="shared" si="244"/>
        <v>0</v>
      </c>
      <c r="AW483" s="1794">
        <f t="shared" si="245"/>
        <v>0</v>
      </c>
      <c r="AX483" s="1794">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7"/>
      <c r="AV484" s="1794">
        <f t="shared" si="244"/>
        <v>0</v>
      </c>
      <c r="AW484" s="1794">
        <f t="shared" si="245"/>
        <v>0</v>
      </c>
      <c r="AX484" s="1794">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7"/>
      <c r="AV485" s="1794">
        <f t="shared" si="244"/>
        <v>0</v>
      </c>
      <c r="AW485" s="1794">
        <f t="shared" si="245"/>
        <v>0</v>
      </c>
      <c r="AX485" s="1794">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7"/>
      <c r="AV486" s="1794">
        <f t="shared" si="244"/>
        <v>0</v>
      </c>
      <c r="AW486" s="1794">
        <f t="shared" si="245"/>
        <v>0</v>
      </c>
      <c r="AX486" s="1794">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7"/>
      <c r="AV487" s="1794">
        <f t="shared" si="244"/>
        <v>0</v>
      </c>
      <c r="AW487" s="1794">
        <f t="shared" si="245"/>
        <v>0</v>
      </c>
      <c r="AX487" s="1794">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7"/>
      <c r="AV488" s="1794">
        <f t="shared" si="244"/>
        <v>0</v>
      </c>
      <c r="AW488" s="1794">
        <f t="shared" si="245"/>
        <v>0</v>
      </c>
      <c r="AX488" s="1794">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7"/>
      <c r="AV489" s="1794">
        <f t="shared" si="244"/>
        <v>0</v>
      </c>
      <c r="AW489" s="1794">
        <f t="shared" si="245"/>
        <v>0</v>
      </c>
      <c r="AX489" s="1794">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4"/>
        <v>0</v>
      </c>
      <c r="AW490" s="1794">
        <f t="shared" si="245"/>
        <v>0</v>
      </c>
      <c r="AX490" s="1794">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2"/>
      <c r="AV491" s="1794">
        <f t="shared" si="244"/>
        <v>0</v>
      </c>
      <c r="AW491" s="1794">
        <f t="shared" si="245"/>
        <v>0</v>
      </c>
      <c r="AX491" s="1794">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2"/>
      <c r="AV492" s="1794">
        <f t="shared" si="244"/>
        <v>0</v>
      </c>
      <c r="AW492" s="1794">
        <f t="shared" si="245"/>
        <v>0</v>
      </c>
      <c r="AX492" s="1794">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5">A493</f>
        <v>0</v>
      </c>
      <c r="AW493" s="1794">
        <f t="shared" ref="AW493:AW520" si="296">B493</f>
        <v>0</v>
      </c>
      <c r="AX493" s="1794">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7"/>
      <c r="AV494" s="1794">
        <f t="shared" si="295"/>
        <v>0</v>
      </c>
      <c r="AW494" s="1794">
        <f t="shared" si="296"/>
        <v>0</v>
      </c>
      <c r="AX494" s="1794">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7"/>
      <c r="AV495" s="1794">
        <f t="shared" si="295"/>
        <v>0</v>
      </c>
      <c r="AW495" s="1794">
        <f t="shared" si="296"/>
        <v>0</v>
      </c>
      <c r="AX495" s="1794">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7"/>
      <c r="AV496" s="1794">
        <f t="shared" si="295"/>
        <v>0</v>
      </c>
      <c r="AW496" s="1794">
        <f t="shared" si="296"/>
        <v>0</v>
      </c>
      <c r="AX496" s="1794">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7"/>
      <c r="AV497" s="1794">
        <f t="shared" si="295"/>
        <v>0</v>
      </c>
      <c r="AW497" s="1794">
        <f t="shared" si="296"/>
        <v>0</v>
      </c>
      <c r="AX497" s="1794">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7"/>
      <c r="AV498" s="1794">
        <f t="shared" si="295"/>
        <v>0</v>
      </c>
      <c r="AW498" s="1794">
        <f t="shared" si="296"/>
        <v>0</v>
      </c>
      <c r="AX498" s="1794">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7"/>
      <c r="AV499" s="1794">
        <f t="shared" si="295"/>
        <v>0</v>
      </c>
      <c r="AW499" s="1794">
        <f t="shared" si="296"/>
        <v>0</v>
      </c>
      <c r="AX499" s="1794">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7"/>
      <c r="AV500" s="1794">
        <f t="shared" si="295"/>
        <v>0</v>
      </c>
      <c r="AW500" s="1794">
        <f t="shared" si="296"/>
        <v>0</v>
      </c>
      <c r="AX500" s="1794">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7"/>
      <c r="AV501" s="1794">
        <f t="shared" si="295"/>
        <v>0</v>
      </c>
      <c r="AW501" s="1794">
        <f t="shared" si="296"/>
        <v>0</v>
      </c>
      <c r="AX501" s="1794">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7"/>
      <c r="AV502" s="1794">
        <f t="shared" si="295"/>
        <v>0</v>
      </c>
      <c r="AW502" s="1794">
        <f t="shared" si="296"/>
        <v>0</v>
      </c>
      <c r="AX502" s="1794">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7"/>
      <c r="AV503" s="1794">
        <f t="shared" si="295"/>
        <v>0</v>
      </c>
      <c r="AW503" s="1794">
        <f t="shared" si="296"/>
        <v>0</v>
      </c>
      <c r="AX503" s="1794">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7"/>
      <c r="AV504" s="1794">
        <f t="shared" si="295"/>
        <v>0</v>
      </c>
      <c r="AW504" s="1794">
        <f t="shared" si="296"/>
        <v>0</v>
      </c>
      <c r="AX504" s="1794">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7"/>
      <c r="AV505" s="1794">
        <f t="shared" si="295"/>
        <v>0</v>
      </c>
      <c r="AW505" s="1794">
        <f t="shared" si="296"/>
        <v>0</v>
      </c>
      <c r="AX505" s="1794">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7"/>
      <c r="AV506" s="1794">
        <f t="shared" si="295"/>
        <v>0</v>
      </c>
      <c r="AW506" s="1794">
        <f t="shared" si="296"/>
        <v>0</v>
      </c>
      <c r="AX506" s="1794">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7"/>
      <c r="AV507" s="1794">
        <f t="shared" si="295"/>
        <v>0</v>
      </c>
      <c r="AW507" s="1794">
        <f t="shared" si="296"/>
        <v>0</v>
      </c>
      <c r="AX507" s="1794">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7"/>
      <c r="AV508" s="1794">
        <f t="shared" si="295"/>
        <v>0</v>
      </c>
      <c r="AW508" s="1794">
        <f t="shared" si="296"/>
        <v>0</v>
      </c>
      <c r="AX508" s="1794">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7"/>
      <c r="AV509" s="1794">
        <f t="shared" si="295"/>
        <v>0</v>
      </c>
      <c r="AW509" s="1794">
        <f t="shared" si="296"/>
        <v>0</v>
      </c>
      <c r="AX509" s="1794">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7"/>
      <c r="AV510" s="1794">
        <f t="shared" si="295"/>
        <v>0</v>
      </c>
      <c r="AW510" s="1794">
        <f t="shared" si="296"/>
        <v>0</v>
      </c>
      <c r="AX510" s="1794">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7"/>
      <c r="AV511" s="1794">
        <f t="shared" si="295"/>
        <v>0</v>
      </c>
      <c r="AW511" s="1794">
        <f t="shared" si="296"/>
        <v>0</v>
      </c>
      <c r="AX511" s="1794">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7"/>
      <c r="AV512" s="1794">
        <f t="shared" si="295"/>
        <v>0</v>
      </c>
      <c r="AW512" s="1794">
        <f t="shared" si="296"/>
        <v>0</v>
      </c>
      <c r="AX512" s="1794">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7"/>
      <c r="AV513" s="1794">
        <f t="shared" si="295"/>
        <v>0</v>
      </c>
      <c r="AW513" s="1794">
        <f t="shared" si="296"/>
        <v>0</v>
      </c>
      <c r="AX513" s="1794">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7"/>
      <c r="AV514" s="1794">
        <f t="shared" si="295"/>
        <v>0</v>
      </c>
      <c r="AW514" s="1794">
        <f t="shared" si="296"/>
        <v>0</v>
      </c>
      <c r="AX514" s="1794">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7"/>
      <c r="AV515" s="1794">
        <f t="shared" si="295"/>
        <v>0</v>
      </c>
      <c r="AW515" s="1794">
        <f t="shared" si="296"/>
        <v>0</v>
      </c>
      <c r="AX515" s="1794">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7"/>
      <c r="AV516" s="1794">
        <f t="shared" si="295"/>
        <v>0</v>
      </c>
      <c r="AW516" s="1794">
        <f t="shared" si="296"/>
        <v>0</v>
      </c>
      <c r="AX516" s="1794">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7"/>
      <c r="AV517" s="1794">
        <f t="shared" si="295"/>
        <v>0</v>
      </c>
      <c r="AW517" s="1794">
        <f t="shared" si="296"/>
        <v>0</v>
      </c>
      <c r="AX517" s="1794">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7"/>
      <c r="AV518" s="1794">
        <f t="shared" si="295"/>
        <v>0</v>
      </c>
      <c r="AW518" s="1794">
        <f t="shared" si="296"/>
        <v>0</v>
      </c>
      <c r="AX518" s="1794">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7"/>
      <c r="AV519" s="1794">
        <f t="shared" si="295"/>
        <v>0</v>
      </c>
      <c r="AW519" s="1794">
        <f t="shared" si="296"/>
        <v>0</v>
      </c>
      <c r="AX519" s="1794">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7"/>
      <c r="AV520" s="1794">
        <f t="shared" si="295"/>
        <v>0</v>
      </c>
      <c r="AW520" s="1794">
        <f t="shared" si="296"/>
        <v>0</v>
      </c>
      <c r="AX520" s="1794">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9">A521</f>
        <v>0</v>
      </c>
      <c r="AW521" s="1794">
        <f t="shared" ref="AW521:AW552" si="300">B521</f>
        <v>0</v>
      </c>
      <c r="AX521" s="1794">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9"/>
        <v>0</v>
      </c>
      <c r="AW522" s="1794">
        <f t="shared" si="300"/>
        <v>0</v>
      </c>
      <c r="AX522" s="1794">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7"/>
      <c r="AV523" s="1794">
        <f t="shared" si="299"/>
        <v>0</v>
      </c>
      <c r="AW523" s="1794">
        <f t="shared" si="300"/>
        <v>0</v>
      </c>
      <c r="AX523" s="1794">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7"/>
      <c r="AV524" s="1794">
        <f t="shared" si="299"/>
        <v>0</v>
      </c>
      <c r="AW524" s="1794">
        <f t="shared" si="300"/>
        <v>0</v>
      </c>
      <c r="AX524" s="1794">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7"/>
      <c r="AV525" s="1794">
        <f t="shared" si="299"/>
        <v>0</v>
      </c>
      <c r="AW525" s="1794">
        <f t="shared" si="300"/>
        <v>0</v>
      </c>
      <c r="AX525" s="1794">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7"/>
      <c r="AV526" s="1794">
        <f t="shared" si="299"/>
        <v>0</v>
      </c>
      <c r="AW526" s="1794">
        <f t="shared" si="300"/>
        <v>0</v>
      </c>
      <c r="AX526" s="1794">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7"/>
      <c r="AV527" s="1794">
        <f t="shared" si="299"/>
        <v>0</v>
      </c>
      <c r="AW527" s="1794">
        <f t="shared" si="300"/>
        <v>0</v>
      </c>
      <c r="AX527" s="1794">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7"/>
      <c r="AV528" s="1794">
        <f t="shared" si="299"/>
        <v>0</v>
      </c>
      <c r="AW528" s="1794">
        <f t="shared" si="300"/>
        <v>0</v>
      </c>
      <c r="AX528" s="1794">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7"/>
      <c r="AV529" s="1794">
        <f t="shared" si="299"/>
        <v>0</v>
      </c>
      <c r="AW529" s="1794">
        <f t="shared" si="300"/>
        <v>0</v>
      </c>
      <c r="AX529" s="1794">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7"/>
      <c r="AV530" s="1794">
        <f t="shared" si="299"/>
        <v>0</v>
      </c>
      <c r="AW530" s="1794">
        <f t="shared" si="300"/>
        <v>0</v>
      </c>
      <c r="AX530" s="1794">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7"/>
      <c r="AV531" s="1794">
        <f t="shared" si="299"/>
        <v>0</v>
      </c>
      <c r="AW531" s="1794">
        <f t="shared" si="300"/>
        <v>0</v>
      </c>
      <c r="AX531" s="1794">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7"/>
      <c r="AV532" s="1794">
        <f t="shared" si="299"/>
        <v>0</v>
      </c>
      <c r="AW532" s="1794">
        <f t="shared" si="300"/>
        <v>0</v>
      </c>
      <c r="AX532" s="1794">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7"/>
      <c r="AV533" s="1794">
        <f t="shared" si="299"/>
        <v>0</v>
      </c>
      <c r="AW533" s="1794">
        <f t="shared" si="300"/>
        <v>0</v>
      </c>
      <c r="AX533" s="1794">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7"/>
      <c r="AV534" s="1794">
        <f t="shared" si="299"/>
        <v>0</v>
      </c>
      <c r="AW534" s="1794">
        <f t="shared" si="300"/>
        <v>0</v>
      </c>
      <c r="AX534" s="1794">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7"/>
      <c r="AV535" s="1794">
        <f t="shared" si="299"/>
        <v>0</v>
      </c>
      <c r="AW535" s="1794">
        <f t="shared" si="300"/>
        <v>0</v>
      </c>
      <c r="AX535" s="1794">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7"/>
      <c r="AV536" s="1794">
        <f t="shared" si="299"/>
        <v>0</v>
      </c>
      <c r="AW536" s="1794">
        <f t="shared" si="300"/>
        <v>0</v>
      </c>
      <c r="AX536" s="1794">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7"/>
      <c r="AV537" s="1794">
        <f t="shared" si="299"/>
        <v>0</v>
      </c>
      <c r="AW537" s="1794">
        <f t="shared" si="300"/>
        <v>0</v>
      </c>
      <c r="AX537" s="1794">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7"/>
      <c r="AV538" s="1794">
        <f t="shared" si="299"/>
        <v>0</v>
      </c>
      <c r="AW538" s="1794">
        <f t="shared" si="300"/>
        <v>0</v>
      </c>
      <c r="AX538" s="1794">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7"/>
      <c r="AV539" s="1794">
        <f t="shared" si="299"/>
        <v>0</v>
      </c>
      <c r="AW539" s="1794">
        <f t="shared" si="300"/>
        <v>0</v>
      </c>
      <c r="AX539" s="1794">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7"/>
      <c r="AV540" s="1794">
        <f t="shared" si="299"/>
        <v>0</v>
      </c>
      <c r="AW540" s="1794">
        <f t="shared" si="300"/>
        <v>0</v>
      </c>
      <c r="AX540" s="1794">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7"/>
      <c r="AV541" s="1794">
        <f t="shared" si="299"/>
        <v>0</v>
      </c>
      <c r="AW541" s="1794">
        <f t="shared" si="300"/>
        <v>0</v>
      </c>
      <c r="AX541" s="1794">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7"/>
      <c r="AV542" s="1794">
        <f t="shared" si="299"/>
        <v>0</v>
      </c>
      <c r="AW542" s="1794">
        <f t="shared" si="300"/>
        <v>0</v>
      </c>
      <c r="AX542" s="1794">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7"/>
      <c r="AV543" s="1794">
        <f t="shared" si="299"/>
        <v>0</v>
      </c>
      <c r="AW543" s="1794">
        <f t="shared" si="300"/>
        <v>0</v>
      </c>
      <c r="AX543" s="1794">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7"/>
      <c r="AV544" s="1794">
        <f t="shared" si="299"/>
        <v>0</v>
      </c>
      <c r="AW544" s="1794">
        <f t="shared" si="300"/>
        <v>0</v>
      </c>
      <c r="AX544" s="1794">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7"/>
      <c r="AV545" s="1794">
        <f t="shared" si="299"/>
        <v>0</v>
      </c>
      <c r="AW545" s="1794">
        <f t="shared" si="300"/>
        <v>0</v>
      </c>
      <c r="AX545" s="1794">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7"/>
      <c r="AV546" s="1794">
        <f t="shared" si="299"/>
        <v>0</v>
      </c>
      <c r="AW546" s="1794">
        <f t="shared" si="300"/>
        <v>0</v>
      </c>
      <c r="AX546" s="1794">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7"/>
      <c r="AV547" s="1794">
        <f t="shared" si="299"/>
        <v>0</v>
      </c>
      <c r="AW547" s="1794">
        <f t="shared" si="300"/>
        <v>0</v>
      </c>
      <c r="AX547" s="1794">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7"/>
      <c r="AV548" s="1794">
        <f t="shared" si="299"/>
        <v>0</v>
      </c>
      <c r="AW548" s="1794">
        <f t="shared" si="300"/>
        <v>0</v>
      </c>
      <c r="AX548" s="1794">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7"/>
      <c r="AV549" s="1794">
        <f t="shared" si="299"/>
        <v>0</v>
      </c>
      <c r="AW549" s="1794">
        <f t="shared" si="300"/>
        <v>0</v>
      </c>
      <c r="AX549" s="1794">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7"/>
      <c r="AV550" s="1794">
        <f t="shared" si="299"/>
        <v>0</v>
      </c>
      <c r="AW550" s="1794">
        <f t="shared" si="300"/>
        <v>0</v>
      </c>
      <c r="AX550" s="1794">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7"/>
      <c r="AV551" s="1794">
        <f t="shared" si="299"/>
        <v>0</v>
      </c>
      <c r="AW551" s="1794">
        <f t="shared" si="300"/>
        <v>0</v>
      </c>
      <c r="AX551" s="1794">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7"/>
      <c r="AV552" s="1794">
        <f t="shared" si="299"/>
        <v>0</v>
      </c>
      <c r="AW552" s="1794">
        <f t="shared" si="300"/>
        <v>0</v>
      </c>
      <c r="AX552" s="1794">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1">A553</f>
        <v>0</v>
      </c>
      <c r="AW553" s="1794">
        <f t="shared" ref="AW553:AW587" si="332">B553</f>
        <v>0</v>
      </c>
      <c r="AX553" s="1794">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7"/>
      <c r="AV554" s="1794">
        <f t="shared" si="331"/>
        <v>0</v>
      </c>
      <c r="AW554" s="1794">
        <f t="shared" si="332"/>
        <v>0</v>
      </c>
      <c r="AX554" s="1794">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7"/>
      <c r="AV555" s="1794">
        <f t="shared" si="331"/>
        <v>0</v>
      </c>
      <c r="AW555" s="1794">
        <f t="shared" si="332"/>
        <v>0</v>
      </c>
      <c r="AX555" s="1794">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7"/>
      <c r="AV556" s="1794">
        <f t="shared" si="331"/>
        <v>0</v>
      </c>
      <c r="AW556" s="1794">
        <f t="shared" si="332"/>
        <v>0</v>
      </c>
      <c r="AX556" s="1794">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7"/>
      <c r="AV557" s="1794">
        <f t="shared" si="331"/>
        <v>0</v>
      </c>
      <c r="AW557" s="1794">
        <f t="shared" si="332"/>
        <v>0</v>
      </c>
      <c r="AX557" s="1794">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7"/>
      <c r="AV558" s="1794">
        <f t="shared" si="331"/>
        <v>0</v>
      </c>
      <c r="AW558" s="1794">
        <f t="shared" si="332"/>
        <v>0</v>
      </c>
      <c r="AX558" s="1794">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7"/>
      <c r="AV559" s="1794">
        <f t="shared" si="331"/>
        <v>0</v>
      </c>
      <c r="AW559" s="1794">
        <f t="shared" si="332"/>
        <v>0</v>
      </c>
      <c r="AX559" s="1794">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7"/>
      <c r="AV560" s="1794">
        <f t="shared" si="331"/>
        <v>0</v>
      </c>
      <c r="AW560" s="1794">
        <f t="shared" si="332"/>
        <v>0</v>
      </c>
      <c r="AX560" s="1794">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7"/>
      <c r="AV561" s="1794">
        <f t="shared" si="331"/>
        <v>0</v>
      </c>
      <c r="AW561" s="1794">
        <f t="shared" si="332"/>
        <v>0</v>
      </c>
      <c r="AX561" s="1794">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7"/>
      <c r="AV562" s="1794">
        <f t="shared" si="331"/>
        <v>0</v>
      </c>
      <c r="AW562" s="1794">
        <f t="shared" si="332"/>
        <v>0</v>
      </c>
      <c r="AX562" s="1794">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7"/>
      <c r="AV563" s="1794">
        <f t="shared" si="331"/>
        <v>0</v>
      </c>
      <c r="AW563" s="1794">
        <f t="shared" si="332"/>
        <v>0</v>
      </c>
      <c r="AX563" s="1794">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7"/>
      <c r="AV564" s="1794">
        <f t="shared" si="331"/>
        <v>0</v>
      </c>
      <c r="AW564" s="1794">
        <f t="shared" si="332"/>
        <v>0</v>
      </c>
      <c r="AX564" s="1794">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7"/>
      <c r="AV565" s="1794">
        <f t="shared" si="331"/>
        <v>0</v>
      </c>
      <c r="AW565" s="1794">
        <f t="shared" si="332"/>
        <v>0</v>
      </c>
      <c r="AX565" s="1794">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7"/>
      <c r="AV566" s="1794">
        <f t="shared" si="331"/>
        <v>0</v>
      </c>
      <c r="AW566" s="1794">
        <f t="shared" si="332"/>
        <v>0</v>
      </c>
      <c r="AX566" s="1794">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7"/>
      <c r="AV567" s="1794">
        <f t="shared" si="331"/>
        <v>0</v>
      </c>
      <c r="AW567" s="1794">
        <f t="shared" si="332"/>
        <v>0</v>
      </c>
      <c r="AX567" s="1794">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7"/>
      <c r="AV568" s="1794">
        <f t="shared" si="331"/>
        <v>0</v>
      </c>
      <c r="AW568" s="1794">
        <f t="shared" si="332"/>
        <v>0</v>
      </c>
      <c r="AX568" s="1794">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7"/>
      <c r="AV569" s="1794">
        <f t="shared" si="331"/>
        <v>0</v>
      </c>
      <c r="AW569" s="1794">
        <f t="shared" si="332"/>
        <v>0</v>
      </c>
      <c r="AX569" s="1794">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7"/>
      <c r="AV570" s="1794">
        <f t="shared" si="331"/>
        <v>0</v>
      </c>
      <c r="AW570" s="1794">
        <f t="shared" si="332"/>
        <v>0</v>
      </c>
      <c r="AX570" s="1794">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7"/>
      <c r="AV571" s="1794">
        <f t="shared" si="331"/>
        <v>0</v>
      </c>
      <c r="AW571" s="1794">
        <f t="shared" si="332"/>
        <v>0</v>
      </c>
      <c r="AX571" s="1794">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7"/>
      <c r="AV572" s="1794">
        <f t="shared" si="331"/>
        <v>0</v>
      </c>
      <c r="AW572" s="1794">
        <f t="shared" si="332"/>
        <v>0</v>
      </c>
      <c r="AX572" s="1794">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7"/>
      <c r="AV573" s="1794">
        <f t="shared" si="331"/>
        <v>0</v>
      </c>
      <c r="AW573" s="1794">
        <f t="shared" si="332"/>
        <v>0</v>
      </c>
      <c r="AX573" s="1794">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7"/>
      <c r="AV574" s="1794">
        <f t="shared" si="331"/>
        <v>0</v>
      </c>
      <c r="AW574" s="1794">
        <f t="shared" si="332"/>
        <v>0</v>
      </c>
      <c r="AX574" s="1794">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7"/>
      <c r="AV575" s="1794">
        <f t="shared" si="331"/>
        <v>0</v>
      </c>
      <c r="AW575" s="1794">
        <f t="shared" si="332"/>
        <v>0</v>
      </c>
      <c r="AX575" s="1794">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7"/>
      <c r="AV576" s="1794">
        <f t="shared" si="331"/>
        <v>0</v>
      </c>
      <c r="AW576" s="1794">
        <f t="shared" si="332"/>
        <v>0</v>
      </c>
      <c r="AX576" s="1794">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7"/>
      <c r="AV577" s="1794">
        <f t="shared" si="331"/>
        <v>0</v>
      </c>
      <c r="AW577" s="1794">
        <f t="shared" si="332"/>
        <v>0</v>
      </c>
      <c r="AX577" s="1794">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7"/>
      <c r="AV578" s="1794">
        <f t="shared" si="331"/>
        <v>0</v>
      </c>
      <c r="AW578" s="1794">
        <f t="shared" si="332"/>
        <v>0</v>
      </c>
      <c r="AX578" s="1794">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7"/>
      <c r="AV579" s="1794">
        <f t="shared" si="331"/>
        <v>0</v>
      </c>
      <c r="AW579" s="1794">
        <f t="shared" si="332"/>
        <v>0</v>
      </c>
      <c r="AX579" s="1794">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7"/>
      <c r="AV580" s="1794">
        <f t="shared" si="331"/>
        <v>0</v>
      </c>
      <c r="AW580" s="1794">
        <f t="shared" si="332"/>
        <v>0</v>
      </c>
      <c r="AX580" s="1794">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7"/>
      <c r="AV581" s="1794">
        <f t="shared" si="331"/>
        <v>0</v>
      </c>
      <c r="AW581" s="1794">
        <f t="shared" si="332"/>
        <v>0</v>
      </c>
      <c r="AX581" s="1794">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7"/>
      <c r="AV582" s="1794">
        <f t="shared" si="331"/>
        <v>0</v>
      </c>
      <c r="AW582" s="1794">
        <f t="shared" si="332"/>
        <v>0</v>
      </c>
      <c r="AX582" s="1794">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7"/>
      <c r="AV583" s="1794">
        <f t="shared" si="331"/>
        <v>0</v>
      </c>
      <c r="AW583" s="1794">
        <f t="shared" si="332"/>
        <v>0</v>
      </c>
      <c r="AX583" s="1794">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7"/>
      <c r="AV584" s="1794">
        <f t="shared" si="331"/>
        <v>0</v>
      </c>
      <c r="AW584" s="1794">
        <f t="shared" si="332"/>
        <v>0</v>
      </c>
      <c r="AX584" s="1794">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1"/>
        <v>0</v>
      </c>
      <c r="AW585" s="1794">
        <f t="shared" si="332"/>
        <v>0</v>
      </c>
      <c r="AX585" s="1794">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1"/>
        <v>0</v>
      </c>
      <c r="AW586" s="1794">
        <f t="shared" si="332"/>
        <v>0</v>
      </c>
      <c r="AX586" s="1794">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1"/>
        <v>0</v>
      </c>
      <c r="AW587" s="1794">
        <f t="shared" si="332"/>
        <v>0</v>
      </c>
      <c r="AX587" s="1794">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1" t="s">
        <v>1896</v>
      </c>
      <c r="B2" s="3081"/>
      <c r="C2" s="3081"/>
      <c r="D2" s="967" t="s">
        <v>1872</v>
      </c>
      <c r="E2" s="2225" t="s">
        <v>1873</v>
      </c>
      <c r="F2" s="1392"/>
      <c r="G2" s="2226"/>
      <c r="H2" s="2227"/>
      <c r="I2" s="2228" t="s">
        <v>1897</v>
      </c>
      <c r="J2" s="1392"/>
      <c r="K2" s="1392"/>
      <c r="L2" s="1392"/>
      <c r="M2" s="1392"/>
      <c r="N2" s="1427"/>
      <c r="O2" s="1392"/>
      <c r="P2" s="1392"/>
    </row>
    <row r="3" spans="1:16" ht="15.75" thickBot="1">
      <c r="A3" s="3082" t="s">
        <v>1870</v>
      </c>
      <c r="B3" s="3082"/>
      <c r="C3" s="3082"/>
      <c r="D3" s="46">
        <f>'数据-基础表'!AY6</f>
        <v>1244.6199999999999</v>
      </c>
      <c r="E3" s="46">
        <f>'数据-基础表'!AZ5</f>
        <v>2323.5299999999997</v>
      </c>
      <c r="F3" s="1392"/>
      <c r="G3" s="1399"/>
      <c r="H3" s="1247" t="s">
        <v>1871</v>
      </c>
      <c r="I3" s="55">
        <f>ROUND('数据-基础表'!B3/'数据-基础表'!A3,2)</f>
        <v>1.87</v>
      </c>
      <c r="J3" s="1392"/>
      <c r="K3" s="1392"/>
      <c r="L3" s="1392"/>
      <c r="M3" s="1392"/>
      <c r="N3" s="1427"/>
      <c r="O3" s="1392"/>
      <c r="P3" s="1392"/>
    </row>
    <row r="4" spans="1:16" ht="15">
      <c r="A4" s="3083"/>
      <c r="B4" s="3084"/>
      <c r="C4" s="3085"/>
      <c r="D4" s="2229" t="s">
        <v>1872</v>
      </c>
      <c r="E4" s="2230" t="s">
        <v>1873</v>
      </c>
      <c r="F4" s="1392"/>
      <c r="G4" s="2231" t="s">
        <v>1898</v>
      </c>
      <c r="H4" s="1247" t="s">
        <v>1878</v>
      </c>
      <c r="I4" s="55">
        <f>ROUND(SUMIF('数据-基础表'!I9:AS9,"地上",'数据-基础表'!I5:AS5)/'数据-基础表'!A3,2)</f>
        <v>1.66</v>
      </c>
      <c r="J4" s="1392"/>
      <c r="K4" s="1392"/>
      <c r="L4" s="1392"/>
      <c r="M4" s="1392"/>
      <c r="N4" s="1427"/>
      <c r="O4" s="1392"/>
      <c r="P4" s="1392"/>
    </row>
    <row r="5" spans="1:16">
      <c r="A5" s="47" t="s">
        <v>1874</v>
      </c>
      <c r="B5" s="3086" t="s">
        <v>1875</v>
      </c>
      <c r="C5" s="3086"/>
      <c r="D5" s="48">
        <f>ROUND($D$3*E5/$E$3,2)</f>
        <v>620.94000000000005</v>
      </c>
      <c r="E5" s="49">
        <f>SUMIF('数据-基础表'!$11:$11,"住宅",'数据-基础表'!$5:$5)</f>
        <v>1159.21</v>
      </c>
      <c r="F5" s="1392"/>
      <c r="G5" s="1399"/>
      <c r="H5" s="1247" t="s">
        <v>1871</v>
      </c>
      <c r="I5" s="55">
        <f>ROUND(E31/D31,2)</f>
        <v>1.87</v>
      </c>
      <c r="J5" s="1392"/>
      <c r="K5" s="1392"/>
      <c r="L5" s="1392"/>
      <c r="M5" s="1392"/>
      <c r="N5" s="1392"/>
      <c r="O5" s="1392"/>
      <c r="P5" s="1392"/>
    </row>
    <row r="6" spans="1:16" ht="15" thickBot="1">
      <c r="A6" s="2232"/>
      <c r="B6" s="3086" t="s">
        <v>1876</v>
      </c>
      <c r="C6" s="3086"/>
      <c r="D6" s="48">
        <f>ROUND($D$3*E6/$E$3,2)</f>
        <v>623.67999999999995</v>
      </c>
      <c r="E6" s="49">
        <f>E3-E5</f>
        <v>1164.3199999999997</v>
      </c>
      <c r="F6" s="1392"/>
      <c r="G6" s="2233" t="s">
        <v>1877</v>
      </c>
      <c r="H6" s="1399" t="s">
        <v>1878</v>
      </c>
      <c r="I6" s="939">
        <f>ROUND(F31/D31,2)</f>
        <v>0.93</v>
      </c>
      <c r="J6" s="1392"/>
      <c r="K6" s="1392"/>
      <c r="L6" s="1392"/>
      <c r="M6" s="1392"/>
      <c r="N6" s="1392"/>
      <c r="O6" s="1392"/>
      <c r="P6" s="1392"/>
    </row>
    <row r="7" spans="1:16" ht="15">
      <c r="A7" s="3078"/>
      <c r="B7" s="3079"/>
      <c r="C7" s="3080"/>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620.94000000000005</v>
      </c>
      <c r="E8" s="51">
        <f>SUMIF('数据-基础表'!BB10:BK10,"地上",'数据-基础表'!BB5:BK5)</f>
        <v>1159.21</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623.67999999999995</v>
      </c>
      <c r="E13" s="51">
        <f>SUMPRODUCT(('数据-基础表'!BB10:BK10="地下")*('数据-基础表'!BB11:BK11="车库")*('数据-基础表'!BB5:BK5))</f>
        <v>1164.32</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1244.6199999999999</v>
      </c>
      <c r="E16" s="53">
        <f>SUM(E8:E15)</f>
        <v>2323.5299999999997</v>
      </c>
      <c r="F16" s="1392"/>
      <c r="G16" s="2235"/>
      <c r="H16" s="2238" t="s">
        <v>1900</v>
      </c>
      <c r="I16" s="2239"/>
      <c r="J16" s="1392"/>
      <c r="K16" s="3075" t="s">
        <v>1900</v>
      </c>
      <c r="L16" s="3076"/>
      <c r="M16" s="3076"/>
      <c r="N16" s="3076"/>
      <c r="O16" s="3076"/>
      <c r="P16" s="3077"/>
    </row>
    <row r="17" spans="1:19" ht="15">
      <c r="A17" s="2240" t="s">
        <v>1901</v>
      </c>
      <c r="B17" s="2241" t="s">
        <v>1902</v>
      </c>
      <c r="C17" s="2242" t="s">
        <v>1903</v>
      </c>
      <c r="D17" s="2243" t="s">
        <v>1891</v>
      </c>
      <c r="E17" s="2244" t="s">
        <v>1892</v>
      </c>
      <c r="F17" s="2245"/>
      <c r="G17" s="2246"/>
      <c r="H17" s="2247" t="s">
        <v>1904</v>
      </c>
      <c r="I17" s="2248" t="s">
        <v>1889</v>
      </c>
      <c r="J17" s="1392"/>
      <c r="K17" s="3072" t="s">
        <v>1905</v>
      </c>
      <c r="L17" s="3073"/>
      <c r="M17" s="3074"/>
      <c r="N17" s="3072" t="s">
        <v>1906</v>
      </c>
      <c r="O17" s="3073"/>
      <c r="P17" s="3074"/>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995" t="s">
        <v>3373</v>
      </c>
      <c r="D19" s="48">
        <f>ROUND($D$3*E19/$E$3,2)</f>
        <v>620.94000000000005</v>
      </c>
      <c r="E19" s="56">
        <f t="shared" ref="E19:E26" si="1">SUM(F19:G19)</f>
        <v>1159.2099999999991</v>
      </c>
      <c r="F19" s="57">
        <f>'数据-基础表'!I5-'数据-基础表'!J5</f>
        <v>1159.2099999999991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620.94000000000005</v>
      </c>
      <c r="S19" s="1248">
        <f t="shared" si="5"/>
        <v>1159.2099999999991</v>
      </c>
    </row>
    <row r="20" spans="1:19">
      <c r="A20" s="2261"/>
      <c r="B20" s="50" t="s">
        <v>1918</v>
      </c>
      <c r="C20" s="2995" t="s">
        <v>3372</v>
      </c>
      <c r="D20" s="48">
        <f t="shared" ref="D20:D26" si="6">ROUND($D$3*E20/$E$3,2)</f>
        <v>623.67999999999995</v>
      </c>
      <c r="E20" s="56">
        <f t="shared" si="1"/>
        <v>1164.32</v>
      </c>
      <c r="F20" s="57"/>
      <c r="G20" s="58">
        <f>'数据-基础表'!O5</f>
        <v>1164.32</v>
      </c>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623.67999999999995</v>
      </c>
      <c r="S20" s="1248">
        <f t="shared" si="5"/>
        <v>1164.32</v>
      </c>
    </row>
    <row r="21" spans="1:19">
      <c r="A21" s="2261"/>
      <c r="B21" s="50" t="s">
        <v>1918</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1919</v>
      </c>
      <c r="D27" s="1393">
        <f>SUM(D19:D26)</f>
        <v>1244.6199999999999</v>
      </c>
      <c r="E27" s="1394">
        <f>IF(SUM(E19:E26)='数据-基础表'!BA5,SUM(E19:E26),IF(F27="地上面积有误","面积有误","地下面积有误"))</f>
        <v>2323.5299999999988</v>
      </c>
      <c r="F27" s="1393">
        <f>IF(SUM(F19:F26)=E8,SUM(F19:F26),"地上面积有误")</f>
        <v>1159.2099999999991</v>
      </c>
      <c r="G27" s="1395">
        <f>SUM(G19:G26)</f>
        <v>1164.32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1244.6199999999999</v>
      </c>
      <c r="S27" s="1247">
        <f>IF(SUM(S19:S26)=$E$3,SUM(S19:S26),SUM(S19:S26)&amp;"误差"&amp;ROUND(SUM(S19:S26)-E3,2))</f>
        <v>2323.5299999999988</v>
      </c>
    </row>
    <row r="28" spans="1:19">
      <c r="A28" s="2261"/>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1923</v>
      </c>
      <c r="D31" s="729">
        <f>D27+D30</f>
        <v>1244.6199999999999</v>
      </c>
      <c r="E31" s="729">
        <f>E27+E30</f>
        <v>2323.5299999999988</v>
      </c>
      <c r="F31" s="730">
        <f>F27+F30</f>
        <v>1159.2099999999991</v>
      </c>
      <c r="G31" s="731">
        <f>G27+G30</f>
        <v>1164.32</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43871</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小高层</v>
      </c>
      <c r="B6" s="2305" t="str">
        <f>IF(A6=0,"","经营性")</f>
        <v>经营性</v>
      </c>
      <c r="C6" s="2306" t="s">
        <v>3365</v>
      </c>
      <c r="D6" s="1051">
        <f>SUMIF(项目基本情况!D$12:I$12,C6,项目基本情况!D$14:I$14)</f>
        <v>70</v>
      </c>
      <c r="E6" s="1048">
        <f>IF(B6="","",SUMIF(项目基本情况!D$12:I$12,C6,项目基本情况!D$13:I$13))</f>
        <v>68586</v>
      </c>
      <c r="F6" s="72">
        <f>SUMIF(项目基本情况!D$12:I$12,C6,项目基本情况!D$15:I$15)</f>
        <v>67.709999999999994</v>
      </c>
      <c r="G6" s="73">
        <f>IF(ISERROR(ROUND(POWER(1+H6,D6-F6)*(POWER(1+H6,F6)-1)/(POWER(1+H6,D6)-1),3)),0,ROUND(POWER(1+H6,D6-F6)*(POWER(1+H6,F6)-1)/(POWER(1+H6,D6)-1),3))</f>
        <v>0.99399999999999999</v>
      </c>
      <c r="H6" s="2991">
        <v>0.04</v>
      </c>
      <c r="I6" s="2991">
        <v>4.4999999999999998E-2</v>
      </c>
      <c r="J6" s="74">
        <v>8.5000000000000006E-2</v>
      </c>
      <c r="K6" s="1251">
        <f>SUMIF('数据-汇总表'!C$19:C$33,A6,'数据-汇总表'!E$19:E$33)</f>
        <v>1159.2099999999991</v>
      </c>
      <c r="L6" s="802">
        <v>3500</v>
      </c>
      <c r="M6" s="75">
        <f t="shared" ref="M6:M14" si="0">ROUND(K6*L6/10000,0)</f>
        <v>406</v>
      </c>
      <c r="N6" s="801">
        <v>0.6</v>
      </c>
      <c r="O6" s="75">
        <f>IF($N$5="成新度","——",ROUND(M6*N6,0))</f>
        <v>244</v>
      </c>
      <c r="P6" s="76">
        <f>IF($N$5="成新度","——",M6-O6)</f>
        <v>162</v>
      </c>
      <c r="Q6" s="90">
        <v>0.25</v>
      </c>
      <c r="R6" s="77">
        <f ca="1">SUMIF('数据-汇总表'!C$19:C$33,A6,'数据-汇总表'!R$19:R$27)</f>
        <v>620.94000000000005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4057234.9999999967</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地下车库</v>
      </c>
      <c r="B7" s="2305" t="str">
        <f t="shared" ref="B7:B13" si="1">IF(A7=0,"","经营性")</f>
        <v>经营性</v>
      </c>
      <c r="C7" s="2306" t="s">
        <v>3025</v>
      </c>
      <c r="D7" s="1051">
        <f>SUMIF(项目基本情况!D$12:I$12,C7,项目基本情况!D$14:I$14)</f>
        <v>50</v>
      </c>
      <c r="E7" s="1048">
        <f>IF(B7="","",SUMIF(项目基本情况!D$12:I$12,C7,项目基本情况!D$13:I$13))</f>
        <v>61281</v>
      </c>
      <c r="F7" s="72">
        <f>SUMIF(项目基本情况!D$12:I$12,C7,项目基本情况!D$15:I$15)</f>
        <v>47.69</v>
      </c>
      <c r="G7" s="73">
        <f t="shared" ref="G7:G11" si="2">IF(ISERROR(ROUND(POWER(1+H7,D7-F7)*(POWER(1+H7,F7)-1)/(POWER(1+H7,D7)-1),3)),0,ROUND(POWER(1+H7,D7-F7)*(POWER(1+H7,F7)-1)/(POWER(1+H7,D7)-1),3))</f>
        <v>0.98699999999999999</v>
      </c>
      <c r="H7" s="2991">
        <v>4.4999999999999998E-2</v>
      </c>
      <c r="I7" s="2991">
        <v>0.05</v>
      </c>
      <c r="J7" s="74">
        <v>8.5000000000000006E-2</v>
      </c>
      <c r="K7" s="1251">
        <f>SUMIF('数据-汇总表'!C$19:C$33,A7,'数据-汇总表'!E$19:E$33)</f>
        <v>1164.32</v>
      </c>
      <c r="L7" s="802">
        <f>L6</f>
        <v>3500</v>
      </c>
      <c r="M7" s="75">
        <f t="shared" si="0"/>
        <v>408</v>
      </c>
      <c r="N7" s="801">
        <f>N6</f>
        <v>0.6</v>
      </c>
      <c r="O7" s="75">
        <f t="shared" ref="O7:O14" si="3">IF($N$5="成新度","——",ROUND(M7*N7,0))</f>
        <v>245</v>
      </c>
      <c r="P7" s="76">
        <f t="shared" ref="P7:P14" si="4">IF($N$5="成新度","——",M7-O7)</f>
        <v>163</v>
      </c>
      <c r="Q7" s="90">
        <v>0.05</v>
      </c>
      <c r="R7" s="77">
        <f ca="1">SUMIF('数据-汇总表'!C$19:C$33,A7,'数据-汇总表'!R$19:R$27)</f>
        <v>623.67999999999995</v>
      </c>
      <c r="S7" s="54">
        <f>IF('数据-汇总表'!$I$17="按面积比例",SUMIF('数据-汇总表'!C$19:C$33,A7,'数据-汇总表'!K$19:K$33),SUMIF('数据-汇总表'!C$19:C$33,A7,'数据-汇总表'!N$19:N$33))</f>
        <v>0</v>
      </c>
      <c r="T7" s="1443">
        <f t="shared" ref="T7:T13" si="5">ROUND($L$14*S7/10000,0)</f>
        <v>0</v>
      </c>
      <c r="U7" s="2993">
        <v>900</v>
      </c>
      <c r="V7" s="803">
        <v>2.5000000000000001E-2</v>
      </c>
      <c r="W7" s="803">
        <v>0.1</v>
      </c>
      <c r="X7" s="1261"/>
      <c r="Y7" s="80">
        <v>1</v>
      </c>
      <c r="Z7" s="81"/>
      <c r="AA7" s="74"/>
      <c r="AB7" s="74"/>
      <c r="AC7" s="1261"/>
      <c r="AD7" s="82"/>
      <c r="AE7" s="1262">
        <f t="shared" ref="AE7:AE13" ca="1" si="6">IF(AN7="",0,SUMIF(INDIRECT("'"&amp;AN7&amp;"'"&amp;"!E:E"),$AE$5,INDIRECT("'"&amp;AN7&amp;"'"&amp;"!F:F")))</f>
        <v>46.89</v>
      </c>
      <c r="AF7" s="1803"/>
      <c r="AG7" s="147">
        <f t="shared" ref="AG7:AG13" si="7">IF(AF7="",0,AE7-AF7)</f>
        <v>0</v>
      </c>
      <c r="AH7" s="83">
        <v>52</v>
      </c>
      <c r="AI7" s="85">
        <v>12</v>
      </c>
      <c r="AJ7" s="86"/>
      <c r="AK7" s="87">
        <v>0.02</v>
      </c>
      <c r="AL7" s="88">
        <v>2E-3</v>
      </c>
      <c r="AM7" s="89">
        <v>0.02</v>
      </c>
      <c r="AN7" s="2307" t="s">
        <v>3347</v>
      </c>
      <c r="AO7" s="55">
        <f t="shared" ref="AO7:AO13" ca="1" si="8">SUMIF(INDIRECT("'"&amp;AN7&amp;"'"&amp;"!A:A"),"总价",INDIRECT("'"&amp;AN7&amp;"'"&amp;"!B:B"))</f>
        <v>785</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2991"/>
      <c r="I8" s="2991"/>
      <c r="J8" s="74"/>
      <c r="K8" s="1251">
        <f>SUMIF('数据-汇总表'!C$19:C$33,A8,'数据-汇总表'!E$19:E$33)</f>
        <v>0</v>
      </c>
      <c r="L8" s="802"/>
      <c r="M8" s="75">
        <f>ROUND(K8*L8/10000,0)</f>
        <v>0</v>
      </c>
      <c r="N8" s="801"/>
      <c r="O8" s="75">
        <f t="shared" si="3"/>
        <v>0</v>
      </c>
      <c r="P8" s="76">
        <f t="shared" si="4"/>
        <v>0</v>
      </c>
      <c r="Q8" s="90"/>
      <c r="R8" s="77">
        <f ca="1">SUMIF('数据-汇总表'!C$19:C$33,A8,'数据-汇总表'!R$19:R$27)</f>
        <v>0</v>
      </c>
      <c r="S8" s="54">
        <f>IF('数据-汇总表'!$I$17="按面积比例",SUMIF('数据-汇总表'!C$19:C$33,A8,'数据-汇总表'!K$19:K$33),SUMIF('数据-汇总表'!C$19:C$33,A8,'数据-汇总表'!N$19:N$33))</f>
        <v>0</v>
      </c>
      <c r="T8" s="1443">
        <f t="shared" si="5"/>
        <v>0</v>
      </c>
      <c r="U8" s="2993"/>
      <c r="V8" s="803"/>
      <c r="W8" s="803"/>
      <c r="X8" s="1261"/>
      <c r="Y8" s="804"/>
      <c r="Z8" s="81"/>
      <c r="AA8" s="74"/>
      <c r="AB8" s="74"/>
      <c r="AC8" s="1261"/>
      <c r="AD8" s="82"/>
      <c r="AE8" s="1262">
        <f t="shared" ca="1" si="6"/>
        <v>0</v>
      </c>
      <c r="AF8" s="1803"/>
      <c r="AG8" s="147">
        <f t="shared" si="7"/>
        <v>0</v>
      </c>
      <c r="AH8" s="805"/>
      <c r="AI8" s="85"/>
      <c r="AJ8" s="86"/>
      <c r="AK8" s="806"/>
      <c r="AL8" s="807"/>
      <c r="AM8" s="808"/>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2992"/>
      <c r="I9" s="2992"/>
      <c r="J9" s="74"/>
      <c r="K9" s="1251">
        <f>SUMIF('数据-汇总表'!C$19:C$33,A9,'数据-汇总表'!E$19:E$33)</f>
        <v>0</v>
      </c>
      <c r="L9" s="802"/>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0</v>
      </c>
      <c r="L14" s="91">
        <f>L7</f>
        <v>3500</v>
      </c>
      <c r="M14" s="75">
        <f t="shared" si="0"/>
        <v>0</v>
      </c>
      <c r="N14" s="92">
        <f>N6</f>
        <v>0.6</v>
      </c>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0.99</v>
      </c>
      <c r="H16" s="99">
        <f>ROUND(SUMPRODUCT(H6:H13,K6:K13)/SUMPRODUCT((H6:H13&gt;0)*(K6:K13)),3)</f>
        <v>4.2999999999999997E-2</v>
      </c>
      <c r="I16" s="100"/>
      <c r="J16" s="100"/>
      <c r="K16" s="101">
        <f>SUM(K6:K15)</f>
        <v>2323.5299999999988</v>
      </c>
      <c r="L16" s="102">
        <f>ROUND(M16*10000/SUM(K6:K14),0)</f>
        <v>3503</v>
      </c>
      <c r="M16" s="102">
        <f>SUM(M6:M14)</f>
        <v>814</v>
      </c>
      <c r="N16" s="103">
        <f>ROUND(SUMPRODUCT(M6:M14,N6:N14)/M16,3)</f>
        <v>0.6</v>
      </c>
      <c r="O16" s="102">
        <f>SUM(O6:O14)</f>
        <v>489</v>
      </c>
      <c r="P16" s="102">
        <f>SUM(P6:P14)</f>
        <v>325</v>
      </c>
      <c r="Q16" s="104">
        <f>ROUND(SUMPRODUCT(Q6:Q13,K6:K13)/SUMPRODUCT((Q6:Q13&gt;0)*(K6:K13)),2)</f>
        <v>0.15</v>
      </c>
      <c r="R16" s="1255">
        <f ca="1">SUM(R6:R13)</f>
        <v>1244.6199999999999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f>B20*N6</f>
        <v>1.2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1.2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0.8</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f>ROUND(B28*K16/10000,0)</f>
        <v>28</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7" t="s">
        <v>2042</v>
      </c>
      <c r="B1" s="3088"/>
      <c r="C1" s="3088"/>
      <c r="D1" s="3088"/>
      <c r="E1" s="3088"/>
      <c r="F1" s="3088"/>
      <c r="G1" s="308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3292</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3293</v>
      </c>
      <c r="D4" s="2368"/>
      <c r="E4" s="2372"/>
      <c r="F4" s="42" t="s">
        <v>2049</v>
      </c>
      <c r="G4" s="2373"/>
      <c r="H4" s="2366"/>
      <c r="I4" s="2366"/>
      <c r="J4" s="2366"/>
      <c r="K4" s="2366"/>
      <c r="L4" s="2366"/>
      <c r="M4" s="2366"/>
      <c r="N4" s="2366"/>
      <c r="O4" s="2366"/>
      <c r="P4" s="2366"/>
      <c r="Q4" s="2366"/>
      <c r="R4" s="2366"/>
    </row>
    <row r="5" spans="1:29" ht="15">
      <c r="A5" s="431"/>
      <c r="B5" s="1794" t="s">
        <v>2050</v>
      </c>
      <c r="C5" s="2371" t="s">
        <v>3294</v>
      </c>
      <c r="D5" s="2368"/>
      <c r="E5" s="2372"/>
      <c r="F5" s="1794" t="s">
        <v>2051</v>
      </c>
      <c r="G5" s="2373"/>
      <c r="H5" s="2366"/>
      <c r="I5" s="2366"/>
      <c r="J5" s="2366"/>
      <c r="K5" s="2366"/>
      <c r="L5" s="2366"/>
      <c r="M5" s="2366"/>
      <c r="N5" s="2366"/>
      <c r="O5" s="2366"/>
      <c r="P5" s="2366"/>
      <c r="Q5" s="2366"/>
      <c r="R5" s="2366"/>
    </row>
    <row r="6" spans="1:29" ht="67.5">
      <c r="A6" s="431"/>
      <c r="B6" s="1794" t="s">
        <v>2052</v>
      </c>
      <c r="C6" s="2959" t="s">
        <v>3295</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3297</v>
      </c>
      <c r="D7" s="2374"/>
      <c r="E7" s="2375"/>
      <c r="F7" s="2376" t="s">
        <v>2054</v>
      </c>
      <c r="G7" s="2377"/>
      <c r="H7" s="2366"/>
      <c r="I7" s="2366"/>
      <c r="J7" s="2366"/>
      <c r="K7" s="2366"/>
      <c r="L7" s="2366"/>
      <c r="M7" s="2366"/>
      <c r="N7" s="2366"/>
      <c r="O7" s="2366"/>
      <c r="P7" s="2366"/>
      <c r="Q7" s="2366"/>
      <c r="R7" s="2366"/>
    </row>
    <row r="8" spans="1:29" ht="27">
      <c r="A8" s="431"/>
      <c r="B8" s="1794" t="s">
        <v>2053</v>
      </c>
      <c r="C8" s="2959" t="s">
        <v>3299</v>
      </c>
      <c r="D8" s="2374"/>
      <c r="E8" s="2374"/>
      <c r="F8" s="1133"/>
      <c r="G8" s="1133"/>
      <c r="H8" s="2366"/>
      <c r="I8" s="2366"/>
      <c r="J8" s="2366"/>
      <c r="K8" s="2366"/>
      <c r="L8" s="2366"/>
      <c r="M8" s="2366"/>
      <c r="N8" s="2366"/>
      <c r="O8" s="2366"/>
      <c r="P8" s="2366"/>
      <c r="Q8" s="2366"/>
      <c r="R8" s="2366"/>
    </row>
    <row r="9" spans="1:29" ht="40.5">
      <c r="A9" s="431"/>
      <c r="B9" s="1794" t="s">
        <v>2055</v>
      </c>
      <c r="C9" s="2958" t="s">
        <v>3301</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3302</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3304</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3305</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2323.5299999999997</v>
      </c>
      <c r="C1" s="1741"/>
      <c r="D1" s="1741"/>
      <c r="E1" s="1741"/>
      <c r="F1" s="1741"/>
      <c r="G1" s="1739"/>
    </row>
    <row r="2" spans="1:10" ht="16.5">
      <c r="A2" s="1742" t="s">
        <v>1345</v>
      </c>
      <c r="B2" s="1742">
        <f>SUM(C14:C23)</f>
        <v>1244.6199999999999</v>
      </c>
      <c r="C2" s="1741"/>
      <c r="D2" s="1741"/>
      <c r="E2" s="1741"/>
      <c r="F2" s="1741"/>
      <c r="G2" s="1739"/>
    </row>
    <row r="3" spans="1:10" ht="16.5">
      <c r="A3" s="1742" t="s">
        <v>1354</v>
      </c>
      <c r="B3" s="1743">
        <f>项目基本情况!D3</f>
        <v>43871</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2742</v>
      </c>
      <c r="C5" s="1742">
        <f ca="1">ROUND(B5*10000/$B$1,0)</f>
        <v>11801</v>
      </c>
      <c r="D5" s="1742">
        <f ca="1">ROUND(B5*10000/$B$2,0)</f>
        <v>22031</v>
      </c>
      <c r="E5" s="1741"/>
      <c r="F5" s="1739"/>
      <c r="G5" s="1739"/>
    </row>
    <row r="6" spans="1:10" ht="16.5">
      <c r="A6" s="1742" t="s">
        <v>1348</v>
      </c>
      <c r="B6" s="1742">
        <f ca="1">SUM(G14:G23)</f>
        <v>2742</v>
      </c>
      <c r="C6" s="1742">
        <f ca="1">ROUND(B6*10000/$B$1,0)</f>
        <v>11801</v>
      </c>
      <c r="D6" s="1742">
        <f ca="1">ROUND(B6*10000/$B$2,0)</f>
        <v>22031</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2323.5299999999997</v>
      </c>
      <c r="C14" s="1740">
        <f>结果表!C118</f>
        <v>1244.6199999999999</v>
      </c>
      <c r="D14" s="1740">
        <f ca="1">结果表!H118</f>
        <v>2742</v>
      </c>
      <c r="E14" s="1740">
        <f ca="1">ROUND(D14*10000/B14,0)</f>
        <v>11801</v>
      </c>
      <c r="F14" s="1740">
        <f ca="1">ROUND(D14*10000/C14,0)</f>
        <v>22031</v>
      </c>
      <c r="G14" s="1740">
        <f ca="1">结果表!D122</f>
        <v>2742</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K124" sqref="K1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22" t="str">
        <f>项目基本情况!S2</f>
        <v>山东省济南市高新区旅游路以南、凤凰路以西A-13出让国有建设用地使用权及在建建筑物房地产</v>
      </c>
      <c r="B2" s="3123"/>
      <c r="C2" s="3123"/>
      <c r="D2" s="3123"/>
      <c r="E2" s="3123"/>
      <c r="F2" s="3123"/>
      <c r="G2" s="3123"/>
      <c r="H2" s="3123"/>
      <c r="I2" s="3124"/>
    </row>
    <row r="3" spans="1:12" ht="12.75">
      <c r="A3" s="3126" t="s">
        <v>2073</v>
      </c>
      <c r="B3" s="3127"/>
      <c r="C3" s="3127"/>
      <c r="D3" s="3127"/>
      <c r="E3" s="3127"/>
      <c r="F3" s="3127"/>
      <c r="G3" s="3127"/>
      <c r="H3" s="3127"/>
      <c r="I3" s="3127"/>
    </row>
    <row r="4" spans="1:12" ht="14.25">
      <c r="A4" s="2422" t="s">
        <v>2074</v>
      </c>
      <c r="B4" s="2423" t="s">
        <v>2075</v>
      </c>
      <c r="C4" s="2424" t="s">
        <v>3046</v>
      </c>
      <c r="D4" s="2424" t="s">
        <v>3047</v>
      </c>
      <c r="E4" s="3119" t="s">
        <v>2076</v>
      </c>
      <c r="F4" s="3120"/>
      <c r="G4" s="3120"/>
      <c r="H4" s="312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2077</v>
      </c>
      <c r="B5" s="3040">
        <v>25</v>
      </c>
      <c r="C5" s="3105"/>
      <c r="D5" s="3125"/>
      <c r="E5" s="140" t="s">
        <v>2078</v>
      </c>
      <c r="F5" s="2426"/>
      <c r="G5" s="2426"/>
      <c r="H5" s="2426"/>
      <c r="I5" s="1830"/>
    </row>
    <row r="6" spans="1:12" ht="12.75">
      <c r="A6" s="3102"/>
      <c r="B6" s="3040"/>
      <c r="C6" s="3106"/>
      <c r="D6" s="3125"/>
      <c r="E6" s="140" t="s">
        <v>2079</v>
      </c>
      <c r="F6" s="2426"/>
      <c r="G6" s="2426"/>
      <c r="H6" s="2426"/>
      <c r="I6" s="1830"/>
    </row>
    <row r="7" spans="1:12" ht="12.75">
      <c r="A7" s="3102"/>
      <c r="B7" s="3040"/>
      <c r="C7" s="3107"/>
      <c r="D7" s="3125"/>
      <c r="E7" s="140" t="s">
        <v>2080</v>
      </c>
      <c r="F7" s="2426"/>
      <c r="G7" s="2426"/>
      <c r="H7" s="2426"/>
      <c r="I7" s="1830"/>
    </row>
    <row r="8" spans="1:12" ht="12.75">
      <c r="A8" s="3102" t="s">
        <v>2081</v>
      </c>
      <c r="B8" s="3040">
        <v>15</v>
      </c>
      <c r="C8" s="3105"/>
      <c r="D8" s="3125"/>
      <c r="E8" s="140" t="s">
        <v>2082</v>
      </c>
      <c r="F8" s="2426"/>
      <c r="G8" s="2426"/>
      <c r="H8" s="2426"/>
      <c r="I8" s="1830"/>
    </row>
    <row r="9" spans="1:12" ht="12.75">
      <c r="A9" s="3102"/>
      <c r="B9" s="3040"/>
      <c r="C9" s="3107"/>
      <c r="D9" s="3125"/>
      <c r="E9" s="140" t="s">
        <v>2083</v>
      </c>
      <c r="F9" s="2426"/>
      <c r="G9" s="2426"/>
      <c r="H9" s="2426"/>
      <c r="I9" s="1830"/>
    </row>
    <row r="10" spans="1:12" ht="12.75">
      <c r="A10" s="3102" t="s">
        <v>2084</v>
      </c>
      <c r="B10" s="3040">
        <v>15</v>
      </c>
      <c r="C10" s="3105"/>
      <c r="D10" s="3125"/>
      <c r="E10" s="140" t="s">
        <v>2085</v>
      </c>
      <c r="F10" s="2426"/>
      <c r="G10" s="2426"/>
      <c r="H10" s="2426"/>
      <c r="I10" s="1830"/>
    </row>
    <row r="11" spans="1:12" ht="12.75">
      <c r="A11" s="3102"/>
      <c r="B11" s="3040"/>
      <c r="C11" s="3107"/>
      <c r="D11" s="3125"/>
      <c r="E11" s="140" t="s">
        <v>2086</v>
      </c>
      <c r="F11" s="2426"/>
      <c r="G11" s="2426"/>
      <c r="H11" s="2426"/>
      <c r="I11" s="1830"/>
    </row>
    <row r="12" spans="1:12" ht="12.75">
      <c r="A12" s="3102" t="s">
        <v>2087</v>
      </c>
      <c r="B12" s="3040">
        <v>15</v>
      </c>
      <c r="C12" s="3105"/>
      <c r="D12" s="3125"/>
      <c r="E12" s="140" t="s">
        <v>2088</v>
      </c>
      <c r="F12" s="2426"/>
      <c r="G12" s="2426"/>
      <c r="H12" s="2426"/>
      <c r="I12" s="1830"/>
    </row>
    <row r="13" spans="1:12" ht="12.75">
      <c r="A13" s="3102"/>
      <c r="B13" s="3040"/>
      <c r="C13" s="3107"/>
      <c r="D13" s="3125"/>
      <c r="E13" s="140" t="s">
        <v>2089</v>
      </c>
      <c r="F13" s="2426"/>
      <c r="G13" s="2426"/>
      <c r="H13" s="2426"/>
      <c r="I13" s="1830"/>
    </row>
    <row r="14" spans="1:12" ht="12.75">
      <c r="A14" s="3102" t="s">
        <v>2090</v>
      </c>
      <c r="B14" s="3040">
        <v>30</v>
      </c>
      <c r="C14" s="3105">
        <v>5</v>
      </c>
      <c r="D14" s="3125">
        <v>5</v>
      </c>
      <c r="E14" s="140" t="s">
        <v>2091</v>
      </c>
      <c r="F14" s="2426"/>
      <c r="G14" s="2426"/>
      <c r="H14" s="2426"/>
      <c r="I14" s="1830"/>
    </row>
    <row r="15" spans="1:12" ht="12.75">
      <c r="A15" s="3102"/>
      <c r="B15" s="3040"/>
      <c r="C15" s="3106"/>
      <c r="D15" s="3125"/>
      <c r="E15" s="140" t="s">
        <v>2092</v>
      </c>
      <c r="F15" s="2426"/>
      <c r="G15" s="2426"/>
      <c r="H15" s="2426"/>
      <c r="I15" s="1830"/>
    </row>
    <row r="16" spans="1:12" ht="12.75">
      <c r="A16" s="3102"/>
      <c r="B16" s="3040"/>
      <c r="C16" s="3107"/>
      <c r="D16" s="3125"/>
      <c r="E16" s="140" t="s">
        <v>2093</v>
      </c>
      <c r="F16" s="2426"/>
      <c r="G16" s="2426"/>
      <c r="H16" s="2426"/>
      <c r="I16" s="1830"/>
    </row>
    <row r="17" spans="1:35" ht="15">
      <c r="A17" s="2427" t="s">
        <v>2094</v>
      </c>
      <c r="B17" s="64"/>
      <c r="C17" s="141">
        <f>SUM(C5:C16)</f>
        <v>5</v>
      </c>
      <c r="D17" s="141">
        <f>SUM(D5:D16)</f>
        <v>5</v>
      </c>
      <c r="E17" s="138"/>
      <c r="F17" s="138"/>
      <c r="G17" s="138"/>
      <c r="H17" s="138"/>
      <c r="I17" s="138"/>
      <c r="K17" s="2425"/>
      <c r="L17" s="2428" t="s">
        <v>2095</v>
      </c>
      <c r="M17" s="2428" t="s">
        <v>2096</v>
      </c>
    </row>
    <row r="18" spans="1:35" ht="15.75" thickBot="1">
      <c r="A18" s="2429" t="s">
        <v>2097</v>
      </c>
      <c r="B18" s="2430"/>
      <c r="C18" s="142">
        <f>ROUND(C17/SUM(C17:D17),2)</f>
        <v>0.5</v>
      </c>
      <c r="D18" s="142">
        <f>1-C18</f>
        <v>0.5</v>
      </c>
      <c r="E18" s="138"/>
      <c r="F18" s="138"/>
      <c r="G18" s="138"/>
      <c r="H18" s="138"/>
      <c r="I18" s="138"/>
      <c r="K18" s="2425" t="s">
        <v>2098</v>
      </c>
      <c r="L18" s="2425">
        <f>IF(C1="",'数据-汇总表'!E3,SUMIF(项目类型,C1,'数据-汇总表'!E17:E26)+SUMIF(项目类型,C1,'数据-汇总表'!I17:I26))</f>
        <v>2323.5299999999997</v>
      </c>
      <c r="M18" s="2425">
        <f>IF(C1="",'数据-汇总表'!E3,SUMIF(项目类型,C1,'数据-汇总表'!E17:E26))</f>
        <v>2323.5299999999997</v>
      </c>
    </row>
    <row r="19" spans="1:35" ht="15">
      <c r="A19" s="2431" t="s">
        <v>2099</v>
      </c>
      <c r="B19" s="2432" t="s">
        <v>2100</v>
      </c>
      <c r="C19" s="143">
        <f ca="1">SUMIF(INDIRECT("'"&amp;C4&amp;"'"&amp;"!A:A"),结果表!B19,INDIRECT("'"&amp;C4&amp;"'"&amp;"!B:B"))</f>
        <v>2498</v>
      </c>
      <c r="D19" s="144">
        <f ca="1">SUMIF(INDIRECT("'"&amp;D4&amp;"'"&amp;"!A:A"),结果表!B19,INDIRECT("'"&amp;D4&amp;"'"&amp;"!B:B"))</f>
        <v>2985</v>
      </c>
      <c r="E19" s="2431" t="s">
        <v>2101</v>
      </c>
      <c r="F19" s="2432" t="s">
        <v>2100</v>
      </c>
      <c r="G19" s="145">
        <f ca="1">ROUND(C19*$C$18+D19*$D$18,0)</f>
        <v>2742</v>
      </c>
      <c r="H19" s="2433" t="s">
        <v>2102</v>
      </c>
      <c r="I19" s="138"/>
      <c r="K19" s="2425" t="s">
        <v>2103</v>
      </c>
      <c r="L19" s="2425">
        <f>IF(C1="",'数据-汇总表'!D3,SUMIF(项目类型,C1,'数据-汇总表'!D17:D26)+SUMIF(项目类型,C1,'数据-汇总表'!H17:H27))</f>
        <v>1244.6199999999999</v>
      </c>
      <c r="M19" s="2425">
        <f>IF(C1="",'数据-汇总表'!D3,SUMIF(项目类型,C1,'数据-汇总表'!D17:D26))</f>
        <v>1244.6199999999999</v>
      </c>
    </row>
    <row r="20" spans="1:35" ht="15">
      <c r="A20" s="2434"/>
      <c r="B20" s="1247" t="s">
        <v>2104</v>
      </c>
      <c r="C20" s="146">
        <f ca="1">SUMIF(INDIRECT("'"&amp;C4&amp;"'"&amp;"!A:A"),结果表!B20,INDIRECT("'"&amp;C4&amp;"'"&amp;"!B:B"))</f>
        <v>10751</v>
      </c>
      <c r="D20" s="147">
        <f ca="1">SUMIF(INDIRECT("'"&amp;D4&amp;"'"&amp;"!A:A"),结果表!B20,INDIRECT("'"&amp;D4&amp;"'"&amp;"!B:B"))</f>
        <v>12847</v>
      </c>
      <c r="E20" s="2434"/>
      <c r="F20" s="1247" t="s">
        <v>2104</v>
      </c>
      <c r="G20" s="148">
        <f ca="1">ROUND(C20*$C$18+D20*$D$18,0)</f>
        <v>11799</v>
      </c>
      <c r="H20" s="980" t="s">
        <v>2105</v>
      </c>
      <c r="I20" s="138"/>
    </row>
    <row r="21" spans="1:35" ht="15" customHeight="1" thickBot="1">
      <c r="A21" s="1000"/>
      <c r="B21" s="2435" t="s">
        <v>2106</v>
      </c>
      <c r="C21" s="789">
        <f ca="1">ROUND(C19*10000/L19,0)</f>
        <v>20070</v>
      </c>
      <c r="D21" s="790">
        <f ca="1">ROUND(D19*10000/L19,0)</f>
        <v>23983</v>
      </c>
      <c r="E21" s="1000"/>
      <c r="F21" s="2435" t="s">
        <v>2106</v>
      </c>
      <c r="G21" s="149">
        <f ca="1">ROUND(G19*10000/L19,0)</f>
        <v>22031</v>
      </c>
      <c r="H21" s="2436" t="s">
        <v>2105</v>
      </c>
      <c r="I21" s="138"/>
    </row>
    <row r="22" spans="1:35" ht="15" thickBot="1">
      <c r="A22" s="2279" t="s">
        <v>2107</v>
      </c>
      <c r="B22" s="2437"/>
      <c r="C22" s="2438"/>
      <c r="D22" s="791">
        <f ca="1">IF(C19&lt;D19,D19/C19-1,C19/D19-1)</f>
        <v>0.19495596477181754</v>
      </c>
      <c r="E22" s="138"/>
      <c r="F22" s="138"/>
      <c r="G22" s="138"/>
      <c r="H22" s="138"/>
      <c r="I22" s="138"/>
    </row>
    <row r="23" spans="1:35" ht="13.5" thickBot="1">
      <c r="A23" s="2415"/>
      <c r="B23" s="2415"/>
      <c r="C23" s="2415"/>
      <c r="D23" s="2415"/>
      <c r="E23" s="138"/>
      <c r="F23" s="138"/>
      <c r="G23" s="138"/>
      <c r="H23" s="138"/>
      <c r="I23" s="138"/>
    </row>
    <row r="24" spans="1:35" ht="14.25">
      <c r="A24" s="3096" t="s">
        <v>2108</v>
      </c>
      <c r="B24" s="2432" t="s">
        <v>2100</v>
      </c>
      <c r="C24" s="145">
        <f>IF(B30=0,0,D30)</f>
        <v>0</v>
      </c>
      <c r="D24" s="2439"/>
      <c r="E24" s="138"/>
      <c r="F24" s="138"/>
      <c r="G24" s="138"/>
      <c r="H24" s="138"/>
      <c r="I24" s="138"/>
    </row>
    <row r="25" spans="1:35" ht="14.25">
      <c r="A25" s="3097"/>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23654.040251550639</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2742</v>
      </c>
      <c r="D32" s="2446" t="s">
        <v>2115</v>
      </c>
      <c r="E32" s="138"/>
      <c r="F32" s="138"/>
      <c r="G32" s="138"/>
      <c r="H32" s="138"/>
      <c r="I32" s="138"/>
    </row>
    <row r="33" spans="1:15" ht="15">
      <c r="A33" s="957" t="s">
        <v>2116</v>
      </c>
      <c r="B33" s="2447"/>
      <c r="C33" s="2448" t="s">
        <v>3331</v>
      </c>
      <c r="D33" s="2449" t="s">
        <v>3046</v>
      </c>
      <c r="E33" s="2450" t="s">
        <v>2117</v>
      </c>
      <c r="F33" s="2451" t="str">
        <f>IF(D32="楼面单价","取值（单价）","取值（总价）")</f>
        <v>取值（总价）</v>
      </c>
      <c r="G33" s="138"/>
      <c r="H33" s="138"/>
      <c r="I33" s="138"/>
    </row>
    <row r="34" spans="1:15" ht="15">
      <c r="A34" s="2452"/>
      <c r="B34" s="2453" t="s">
        <v>2118</v>
      </c>
      <c r="C34" s="157">
        <f ca="1">IF(C33="自定义",F34,C32-C35)</f>
        <v>1988</v>
      </c>
      <c r="D34" s="1055">
        <f ca="1">IF(C33="自定义",ROUND(C34/C32,3),IF(C33="收益比率",SUMIF(INDIRECT("'"&amp;D33&amp;"'"&amp;"!b:b"),"土地收益比率",INDIRECT("'"&amp;D33&amp;"'"&amp;"!c:c")),SUMIF(INDIRECT("'"&amp;D33&amp;"'"&amp;"!b:b"),"土地成本比率",INDIRECT("'"&amp;D33&amp;"'"&amp;"!c:c"))))</f>
        <v>0.72499999999999998</v>
      </c>
      <c r="E34" s="2454" t="s">
        <v>2119</v>
      </c>
      <c r="F34" s="1735"/>
      <c r="G34" s="138"/>
      <c r="H34" s="138"/>
      <c r="I34" s="138"/>
    </row>
    <row r="35" spans="1:15" ht="15.75" thickBot="1">
      <c r="A35" s="2455"/>
      <c r="B35" s="2456" t="s">
        <v>2120</v>
      </c>
      <c r="C35" s="1441">
        <f ca="1">IF(C33="自定义",F35,ROUND(C32*D35,0))</f>
        <v>754</v>
      </c>
      <c r="D35" s="1442">
        <f ca="1">IF(C33="自定义",ROUND(C35/C32,3),IF(C33="收益比率",SUMIF(INDIRECT("'"&amp;D33&amp;"'"&amp;"!b:b"),"建筑物收益比率",INDIRECT("'"&amp;D33&amp;"'"&amp;"!c:c")),SUMIF(INDIRECT("'"&amp;D33&amp;"'"&amp;"!b:b"),"建筑物成本比率",INDIRECT("'"&amp;D33&amp;"'"&amp;"!c:c"))))</f>
        <v>0.27500000000000002</v>
      </c>
      <c r="E35" s="2457" t="s">
        <v>2121</v>
      </c>
      <c r="F35" s="163"/>
      <c r="G35" s="138"/>
      <c r="H35" s="138"/>
      <c r="I35" s="138"/>
    </row>
    <row r="36" spans="1:15" ht="15.75" thickBot="1">
      <c r="A36" s="3114" t="s">
        <v>2122</v>
      </c>
      <c r="B36" s="2458" t="s">
        <v>2123</v>
      </c>
      <c r="C36" s="154"/>
      <c r="D36" s="2459"/>
      <c r="E36" s="2460"/>
      <c r="F36" s="2461"/>
      <c r="G36" s="138"/>
      <c r="H36" s="138"/>
      <c r="I36" s="138"/>
    </row>
    <row r="37" spans="1:15" ht="15.75" thickBot="1">
      <c r="A37" s="3115"/>
      <c r="B37" s="2265" t="s">
        <v>2124</v>
      </c>
      <c r="C37" s="156"/>
      <c r="D37" s="1392"/>
      <c r="E37" s="1392"/>
      <c r="F37" s="2461"/>
      <c r="G37" s="138"/>
      <c r="H37" s="138"/>
      <c r="I37" s="138"/>
    </row>
    <row r="38" spans="1:15" ht="15.75" thickBot="1">
      <c r="A38" s="3116"/>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93" t="s">
        <v>2136</v>
      </c>
      <c r="B45" s="3094"/>
      <c r="C45" s="3095"/>
      <c r="D45" s="164">
        <f ca="1">ROUND(H101*F45,0)</f>
        <v>2742</v>
      </c>
      <c r="E45" s="165" t="s">
        <v>2137</v>
      </c>
      <c r="F45" s="166">
        <v>1</v>
      </c>
      <c r="G45" s="167" t="s">
        <v>2138</v>
      </c>
      <c r="H45" s="138"/>
      <c r="I45" s="138"/>
      <c r="J45" s="3153" t="s">
        <v>2139</v>
      </c>
      <c r="K45" s="3153"/>
      <c r="L45" s="3153"/>
      <c r="M45" s="3153"/>
      <c r="N45" s="3153"/>
      <c r="O45" s="3153"/>
    </row>
    <row r="46" spans="1:15" ht="14.25" customHeight="1">
      <c r="A46" s="3090" t="s">
        <v>2140</v>
      </c>
      <c r="B46" s="3091"/>
      <c r="C46" s="3091"/>
      <c r="D46" s="3091"/>
      <c r="E46" s="3091"/>
      <c r="F46" s="3091"/>
      <c r="G46" s="3092"/>
      <c r="H46" s="2477"/>
      <c r="I46" s="168"/>
      <c r="J46" s="1808">
        <v>1</v>
      </c>
      <c r="K46" s="3153" t="s">
        <v>2141</v>
      </c>
      <c r="L46" s="3153"/>
      <c r="M46" s="3173"/>
      <c r="N46" s="3173"/>
      <c r="O46" s="3173"/>
    </row>
    <row r="47" spans="1:15" ht="12" customHeight="1">
      <c r="A47" s="169" t="s">
        <v>2142</v>
      </c>
      <c r="B47" s="170"/>
      <c r="C47" s="171"/>
      <c r="D47" s="172" t="s">
        <v>2143</v>
      </c>
      <c r="E47" s="24" t="s">
        <v>2144</v>
      </c>
      <c r="F47" s="173" t="s">
        <v>2145</v>
      </c>
      <c r="G47" s="174" t="s">
        <v>2146</v>
      </c>
      <c r="H47" s="2477"/>
      <c r="I47" s="168"/>
      <c r="J47" s="1808">
        <v>2</v>
      </c>
      <c r="K47" s="3153" t="s">
        <v>2147</v>
      </c>
      <c r="L47" s="3153"/>
      <c r="M47" s="3174">
        <f>'数据-取费表'!B2</f>
        <v>43871</v>
      </c>
      <c r="N47" s="3174"/>
      <c r="O47" s="3174"/>
    </row>
    <row r="48" spans="1:15" ht="25.5">
      <c r="A48" s="3121" t="s">
        <v>2148</v>
      </c>
      <c r="B48" s="3104"/>
      <c r="C48" s="3104"/>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53" t="s">
        <v>2151</v>
      </c>
      <c r="L48" s="3153"/>
      <c r="M48" s="3175">
        <f ca="1">H101</f>
        <v>2742</v>
      </c>
      <c r="N48" s="3175"/>
      <c r="O48" s="3175"/>
    </row>
    <row r="49" spans="1:35" ht="25.5" customHeight="1">
      <c r="A49" s="176" t="s">
        <v>2152</v>
      </c>
      <c r="B49" s="3089" t="s">
        <v>2153</v>
      </c>
      <c r="C49" s="3089"/>
      <c r="D49" s="177">
        <v>0</v>
      </c>
      <c r="E49" s="23" t="s">
        <v>2154</v>
      </c>
      <c r="F49" s="28" t="s">
        <v>34</v>
      </c>
      <c r="G49" s="3159"/>
      <c r="H49" s="138"/>
      <c r="I49" s="2480"/>
      <c r="J49" s="1808">
        <v>4</v>
      </c>
      <c r="K49" s="3153" t="str">
        <f>IF(项目基本情况!E8="房地产抵押价值","房地产抵押价值","抵押担保权已注销时的房地产抵押价值")</f>
        <v>房地产抵押价值</v>
      </c>
      <c r="L49" s="3153"/>
      <c r="M49" s="3175">
        <f ca="1">IF(项目基本情况!E8="房地产抵押价值",H107,H109)</f>
        <v>2742</v>
      </c>
      <c r="N49" s="3175"/>
      <c r="O49" s="3175"/>
    </row>
    <row r="50" spans="1:35" ht="25.5" customHeight="1">
      <c r="A50" s="178"/>
      <c r="B50" s="3089" t="s">
        <v>2155</v>
      </c>
      <c r="C50" s="3089"/>
      <c r="D50" s="179"/>
      <c r="E50" s="31"/>
      <c r="F50" s="180"/>
      <c r="G50" s="3160"/>
      <c r="H50" s="138"/>
      <c r="I50" s="2480"/>
      <c r="J50" s="3153" t="s">
        <v>2156</v>
      </c>
      <c r="K50" s="3153"/>
      <c r="L50" s="3153"/>
      <c r="M50" s="3153"/>
      <c r="N50" s="3153"/>
      <c r="O50" s="3153"/>
    </row>
    <row r="51" spans="1:35" ht="12" customHeight="1">
      <c r="A51" s="181"/>
      <c r="B51" s="3089" t="s">
        <v>2157</v>
      </c>
      <c r="C51" s="3089"/>
      <c r="D51" s="182"/>
      <c r="E51" s="30"/>
      <c r="F51" s="180"/>
      <c r="G51" s="3161"/>
      <c r="H51" s="138"/>
      <c r="I51" s="2480"/>
      <c r="J51" s="2481" t="s">
        <v>2158</v>
      </c>
      <c r="K51" s="3153" t="s">
        <v>2159</v>
      </c>
      <c r="L51" s="3153"/>
      <c r="M51" s="2481" t="s">
        <v>2160</v>
      </c>
      <c r="N51" s="2481" t="s">
        <v>2161</v>
      </c>
      <c r="O51" s="2481" t="s">
        <v>2162</v>
      </c>
    </row>
    <row r="52" spans="1:35" ht="24" customHeight="1">
      <c r="A52" s="183" t="s">
        <v>2163</v>
      </c>
      <c r="B52" s="3089" t="s">
        <v>2164</v>
      </c>
      <c r="C52" s="3089"/>
      <c r="D52" s="182">
        <f ca="1">ROUND(D45*'数据-取费表'!B41/(1+'数据-取费表'!C42),0)</f>
        <v>146</v>
      </c>
      <c r="E52" s="11" t="s">
        <v>2165</v>
      </c>
      <c r="F52" s="184">
        <f>'数据-取费表'!B41</f>
        <v>5.6000000000000001E-2</v>
      </c>
      <c r="G52" s="2482"/>
      <c r="H52" s="138"/>
      <c r="I52" s="2480"/>
      <c r="J52" s="1808">
        <v>1</v>
      </c>
      <c r="K52" s="3154" t="s">
        <v>2166</v>
      </c>
      <c r="L52" s="3154"/>
      <c r="M52" s="1750">
        <f>D48</f>
        <v>0</v>
      </c>
      <c r="N52" s="1808" t="str">
        <f>E48</f>
        <v>销售额×税（费）率</v>
      </c>
      <c r="O52" s="1751" t="str">
        <f>F48</f>
        <v>免征</v>
      </c>
    </row>
    <row r="53" spans="1:35" ht="12" customHeight="1">
      <c r="A53" s="183" t="s">
        <v>2167</v>
      </c>
      <c r="B53" s="3112" t="s">
        <v>2168</v>
      </c>
      <c r="C53" s="3113"/>
      <c r="D53" s="182">
        <f ca="1">ROUND(D45*'数据-取费表'!B41/(1+'数据-取费表'!C42),0)</f>
        <v>146</v>
      </c>
      <c r="E53" s="11" t="s">
        <v>2165</v>
      </c>
      <c r="F53" s="184">
        <f>'数据-取费表'!B41</f>
        <v>5.6000000000000001E-2</v>
      </c>
      <c r="G53" s="2482"/>
      <c r="H53" s="138"/>
      <c r="I53" s="2480"/>
      <c r="J53" s="1808">
        <v>2</v>
      </c>
      <c r="K53" s="3154" t="s">
        <v>2169</v>
      </c>
      <c r="L53" s="3154"/>
      <c r="M53" s="1750">
        <f t="shared" ref="M53:O54" ca="1" si="0">D55</f>
        <v>1</v>
      </c>
      <c r="N53" s="1808" t="str">
        <f t="shared" si="0"/>
        <v>销售额×税（费）率</v>
      </c>
      <c r="O53" s="1751">
        <f t="shared" si="0"/>
        <v>5.0000000000000001E-4</v>
      </c>
    </row>
    <row r="54" spans="1:35" ht="12" customHeight="1">
      <c r="A54" s="183" t="s">
        <v>2170</v>
      </c>
      <c r="B54" s="3112" t="s">
        <v>2171</v>
      </c>
      <c r="C54" s="3113"/>
      <c r="D54" s="182">
        <f ca="1">C68</f>
        <v>146</v>
      </c>
      <c r="E54" s="30" t="s">
        <v>2172</v>
      </c>
      <c r="F54" s="184">
        <f>'数据-取费表'!B41</f>
        <v>5.6000000000000001E-2</v>
      </c>
      <c r="G54" s="2482"/>
      <c r="H54" s="2483"/>
      <c r="I54" s="2480"/>
      <c r="J54" s="1808">
        <v>3</v>
      </c>
      <c r="K54" s="3154" t="s">
        <v>2173</v>
      </c>
      <c r="L54" s="3154"/>
      <c r="M54" s="1750">
        <f t="shared" ca="1" si="0"/>
        <v>1551</v>
      </c>
      <c r="N54" s="1808" t="str">
        <f t="shared" si="0"/>
        <v>增值额×税（费）率</v>
      </c>
      <c r="O54" s="1752" t="str">
        <f t="shared" si="0"/>
        <v>——</v>
      </c>
    </row>
    <row r="55" spans="1:35" ht="24" customHeight="1">
      <c r="A55" s="3103" t="s">
        <v>2174</v>
      </c>
      <c r="B55" s="3104"/>
      <c r="C55" s="3104"/>
      <c r="D55" s="185">
        <f ca="1">IF(H55="个人住宅",0,ROUND(D45*I55,0))</f>
        <v>1</v>
      </c>
      <c r="E55" s="11" t="s">
        <v>2175</v>
      </c>
      <c r="F55" s="184">
        <f>IF(H55="正常",I55,"免征")</f>
        <v>5.0000000000000001E-4</v>
      </c>
      <c r="G55" s="2482"/>
      <c r="H55" s="2479" t="s">
        <v>2176</v>
      </c>
      <c r="I55" s="186">
        <f>'数据-取费表'!B49</f>
        <v>5.0000000000000001E-4</v>
      </c>
      <c r="J55" s="1808" t="str">
        <f>IF(H59="非个人房产","",4)</f>
        <v/>
      </c>
      <c r="K55" s="3154" t="str">
        <f>IF(H59="非个人房产","——","个人所得税")</f>
        <v>——</v>
      </c>
      <c r="L55" s="3154"/>
      <c r="M55" s="1753" t="str">
        <f>D59</f>
        <v>——</v>
      </c>
      <c r="N55" s="1806" t="str">
        <f>E59</f>
        <v>——</v>
      </c>
      <c r="O55" s="1754" t="str">
        <f>F59</f>
        <v>——</v>
      </c>
    </row>
    <row r="56" spans="1:35" ht="24.75">
      <c r="A56" s="3103" t="s">
        <v>2177</v>
      </c>
      <c r="B56" s="3104"/>
      <c r="C56" s="3104"/>
      <c r="D56" s="185">
        <f ca="1">IF(H56="个人住宅",D57,D58)</f>
        <v>1551</v>
      </c>
      <c r="E56" s="11" t="s">
        <v>2178</v>
      </c>
      <c r="F56" s="184" t="str">
        <f>IF(H56="正常",F58,"免征")</f>
        <v>——</v>
      </c>
      <c r="G56" s="2484" t="s">
        <v>2179</v>
      </c>
      <c r="H56" s="2485" t="s">
        <v>2176</v>
      </c>
      <c r="I56" s="2486"/>
      <c r="J56" s="1808" t="str">
        <f>IF(项目基本情况!K6="上海银行",IF(J55="",4,J55+1),"")</f>
        <v/>
      </c>
      <c r="K56" s="3177" t="str">
        <f>IF(项目基本情况!K6="上海银行","其他处置费用","")</f>
        <v/>
      </c>
      <c r="L56" s="3178"/>
      <c r="M56" s="1750" t="str">
        <f>IF(项目基本情况!K6="上海银行",M69,"")</f>
        <v/>
      </c>
      <c r="N56" s="3180" t="str">
        <f>IF(项目基本情况!K6="上海银行","包含处置中涉及的律师、诉讼、拍卖、评估等费用","")</f>
        <v/>
      </c>
      <c r="O56" s="3181"/>
    </row>
    <row r="57" spans="1:35" ht="12.75">
      <c r="A57" s="183" t="s">
        <v>2152</v>
      </c>
      <c r="B57" s="3119" t="s">
        <v>2180</v>
      </c>
      <c r="C57" s="3128"/>
      <c r="D57" s="187">
        <v>0</v>
      </c>
      <c r="E57" s="23" t="s">
        <v>2154</v>
      </c>
      <c r="F57" s="155"/>
      <c r="G57" s="2482"/>
      <c r="H57" s="2486"/>
      <c r="I57" s="2486"/>
      <c r="J57" s="3154">
        <f>IF(AND(J55="",J56=""),4,IF(项目基本情况!K6="上海银行",结果表!J56+1,结果表!J55+1))</f>
        <v>4</v>
      </c>
      <c r="K57" s="3154" t="s">
        <v>2181</v>
      </c>
      <c r="L57" s="2487" t="s">
        <v>2182</v>
      </c>
      <c r="M57" s="1755"/>
      <c r="N57" s="1756">
        <f ca="1">SUMIF(M52:M56,"&lt;9e307")</f>
        <v>1552</v>
      </c>
      <c r="O57" s="2488"/>
      <c r="P57" s="1749">
        <f ca="1">N57/M49</f>
        <v>0.56601021152443476</v>
      </c>
    </row>
    <row r="58" spans="1:35" ht="24.75">
      <c r="A58" s="183" t="s">
        <v>2163</v>
      </c>
      <c r="B58" s="3119" t="s">
        <v>2183</v>
      </c>
      <c r="C58" s="3120"/>
      <c r="D58" s="185">
        <f ca="1">IF(H58="转让取得",C81,C97)</f>
        <v>1551</v>
      </c>
      <c r="E58" s="11" t="s">
        <v>2178</v>
      </c>
      <c r="F58" s="24" t="s">
        <v>34</v>
      </c>
      <c r="G58" s="2482"/>
      <c r="H58" s="2485" t="s">
        <v>2184</v>
      </c>
      <c r="I58" s="2486"/>
      <c r="J58" s="3154"/>
      <c r="K58" s="3154"/>
      <c r="L58" s="2487" t="s">
        <v>2185</v>
      </c>
      <c r="M58" s="1757"/>
      <c r="N58" s="2489" t="str">
        <f ca="1">NUMBERSTRING(INT(N57*10000),2)&amp;"元整"</f>
        <v>壹仟伍佰伍拾贰万元整</v>
      </c>
      <c r="O58" s="2490"/>
    </row>
    <row r="59" spans="1:35" ht="24.75" thickBot="1">
      <c r="A59" s="3157" t="s">
        <v>2186</v>
      </c>
      <c r="B59" s="3158"/>
      <c r="C59" s="315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55">
        <f>J57+1</f>
        <v>5</v>
      </c>
      <c r="K59" s="3154" t="s">
        <v>2188</v>
      </c>
      <c r="L59" s="1808" t="s">
        <v>2182</v>
      </c>
      <c r="M59" s="1758"/>
      <c r="N59" s="1759">
        <f ca="1">M49-N57</f>
        <v>1190</v>
      </c>
      <c r="O59" s="2492"/>
    </row>
    <row r="60" spans="1:35" ht="12" customHeight="1">
      <c r="A60" s="2493"/>
      <c r="B60" s="2415"/>
      <c r="C60" s="2415"/>
      <c r="D60" s="2415"/>
      <c r="E60" s="2164"/>
      <c r="F60" s="2486"/>
      <c r="G60" s="2486"/>
      <c r="H60" s="2494"/>
      <c r="I60" s="138"/>
      <c r="J60" s="3156"/>
      <c r="K60" s="3154"/>
      <c r="L60" s="2487" t="s">
        <v>2185</v>
      </c>
      <c r="M60" s="1757"/>
      <c r="N60" s="2489" t="str">
        <f ca="1">NUMBERSTRING(INT(N59*10000),2)&amp;"元整"</f>
        <v>壹仟壹佰玖拾万元整</v>
      </c>
      <c r="O60" s="2490"/>
    </row>
    <row r="61" spans="1:35" ht="13.5" thickBot="1">
      <c r="A61" s="3101" t="s">
        <v>2189</v>
      </c>
      <c r="B61" s="3101"/>
      <c r="C61" s="3101"/>
      <c r="D61" s="3101"/>
      <c r="E61" s="3101"/>
      <c r="F61" s="2486"/>
      <c r="G61" s="2486"/>
      <c r="H61" s="2494"/>
      <c r="I61" s="138"/>
      <c r="J61" s="1808">
        <f>J59+1</f>
        <v>6</v>
      </c>
      <c r="K61" s="3154" t="s">
        <v>2190</v>
      </c>
      <c r="L61" s="3154"/>
      <c r="M61" s="1760"/>
      <c r="N61" s="1761">
        <f ca="1">ROUND(N59*10000/'数据-汇总表'!E3,0)</f>
        <v>5122</v>
      </c>
      <c r="O61" s="2495"/>
    </row>
    <row r="62" spans="1:35" ht="12.75">
      <c r="A62" s="3117" t="s">
        <v>2191</v>
      </c>
      <c r="B62" s="3118"/>
      <c r="C62" s="1800"/>
      <c r="D62" s="1800" t="s">
        <v>2192</v>
      </c>
      <c r="E62" s="192" t="s">
        <v>2193</v>
      </c>
      <c r="F62" s="2486"/>
      <c r="G62" s="2486"/>
      <c r="H62" s="2494"/>
      <c r="I62" s="138"/>
    </row>
    <row r="63" spans="1:35" ht="12.75">
      <c r="A63" s="203" t="s">
        <v>774</v>
      </c>
      <c r="B63" s="193" t="s">
        <v>2194</v>
      </c>
      <c r="C63" s="194">
        <f ca="1">ROUND((C64+C65)/(1+'数据-取费表'!C42),0)</f>
        <v>2611</v>
      </c>
      <c r="D63" s="195"/>
      <c r="E63" s="196"/>
      <c r="F63" s="2486"/>
      <c r="G63" s="2486"/>
      <c r="H63" s="2494"/>
      <c r="I63" s="138"/>
      <c r="J63" s="3179" t="s">
        <v>2195</v>
      </c>
      <c r="K63" s="2496" t="s">
        <v>2196</v>
      </c>
      <c r="L63" s="1748">
        <f ca="1">IF(M49&gt;10000,M49*0.5%,IF(AND(M49&gt;1000,M49&lt;=10000),M49*1%,IF(AND(M49&gt;100,M49&lt;=1000),M49*3%,IF(AND(M49&gt;10,M49&lt;=100),M49*5%,M49*8%))))</f>
        <v>27.42</v>
      </c>
      <c r="M63" s="24">
        <f ca="1">ROUND(L63,1)</f>
        <v>27.4</v>
      </c>
      <c r="Z63" s="2420"/>
      <c r="AI63" s="2421"/>
    </row>
    <row r="64" spans="1:35" ht="14.25" customHeight="1">
      <c r="A64" s="197" t="s">
        <v>769</v>
      </c>
      <c r="B64" s="198" t="s">
        <v>2197</v>
      </c>
      <c r="C64" s="199">
        <f ca="1">D45</f>
        <v>2742</v>
      </c>
      <c r="D64" s="200" t="s">
        <v>32</v>
      </c>
      <c r="E64" s="201"/>
      <c r="F64" s="2486"/>
      <c r="G64" s="2486"/>
      <c r="H64" s="2494"/>
      <c r="I64" s="138"/>
      <c r="J64" s="3179"/>
      <c r="K64" s="2496" t="s">
        <v>2198</v>
      </c>
      <c r="L64" s="1748">
        <f ca="1">IF(M49&gt;2000,M49*0.5%,IF(AND(M49&gt;1000,M49&lt;=2000),M49*0.6%,IF(AND(M49&gt;500,M49&lt;=1000),M49*0.7%,IF(AND(M49&gt;200,M49&lt;=500),M49*0.8%,IF(AND(M49&gt;100,M49&lt;=200),M49*0.9%,IF(AND(M49&gt;50,M49&lt;=100),M49*1%,IF(AND(M49&gt;20,M49&lt;=50),M49*1.5%,IF(AND(M49&gt;10,M49&lt;=20),M49*2%,IF(AND(M49&gt;1,M49&lt;=10),M49*2.5%)))))))))</f>
        <v>13.71</v>
      </c>
      <c r="M64" s="24">
        <f t="shared" ref="M64:M65" ca="1" si="1">ROUND(L64,1)</f>
        <v>13.7</v>
      </c>
      <c r="N64" s="138" t="s">
        <v>2199</v>
      </c>
      <c r="Z64" s="2420"/>
      <c r="AI64" s="2421"/>
    </row>
    <row r="65" spans="1:35" ht="14.25" customHeight="1">
      <c r="A65" s="197" t="s">
        <v>770</v>
      </c>
      <c r="B65" s="198" t="s">
        <v>2200</v>
      </c>
      <c r="C65" s="202"/>
      <c r="D65" s="200"/>
      <c r="E65" s="201"/>
      <c r="F65" s="2486"/>
      <c r="G65" s="2486"/>
      <c r="H65" s="2494"/>
      <c r="I65" s="138"/>
      <c r="J65" s="3179"/>
      <c r="K65" s="2496" t="s">
        <v>2201</v>
      </c>
      <c r="L65" s="1748">
        <f ca="1">IF(M49&gt;1000,M49*0.1%,IF(AND(M49&gt;500,M49&lt;=1000),M49*0.5%,IF(AND(M49&gt;50,M49&lt;=500),M49*1%,IF(AND(M49&gt;1,M49&lt;=50),M49*1.5%))))</f>
        <v>2.742</v>
      </c>
      <c r="M65" s="24">
        <f t="shared" ca="1" si="1"/>
        <v>2.7</v>
      </c>
      <c r="N65" s="138" t="s">
        <v>2199</v>
      </c>
      <c r="Z65" s="2420"/>
      <c r="AI65" s="2421"/>
    </row>
    <row r="66" spans="1:35" ht="14.25" customHeight="1">
      <c r="A66" s="203" t="s">
        <v>771</v>
      </c>
      <c r="B66" s="204" t="s">
        <v>2202</v>
      </c>
      <c r="C66" s="205"/>
      <c r="D66" s="206" t="s">
        <v>32</v>
      </c>
      <c r="E66" s="1772" t="s">
        <v>1363</v>
      </c>
      <c r="F66" s="2486"/>
      <c r="G66" s="2486"/>
      <c r="H66" s="2494"/>
      <c r="I66" s="138"/>
      <c r="J66" s="3179"/>
      <c r="K66" s="2496" t="s">
        <v>2203</v>
      </c>
      <c r="L66" s="1748">
        <f ca="1">M49*0.5%</f>
        <v>13.71</v>
      </c>
      <c r="M66" s="24">
        <f ca="1">IF(L66&gt;0.5,0.5,ROUND(L66,0))</f>
        <v>0.5</v>
      </c>
      <c r="N66" s="138" t="s">
        <v>2204</v>
      </c>
      <c r="Z66" s="2420"/>
      <c r="AI66" s="2421"/>
    </row>
    <row r="67" spans="1:35" ht="14.25" customHeight="1">
      <c r="A67" s="203" t="s">
        <v>772</v>
      </c>
      <c r="B67" s="204" t="s">
        <v>2205</v>
      </c>
      <c r="C67" s="207">
        <f ca="1">C63-C66</f>
        <v>2611</v>
      </c>
      <c r="D67" s="200" t="s">
        <v>32</v>
      </c>
      <c r="E67" s="201"/>
      <c r="F67" s="2486"/>
      <c r="G67" s="2486"/>
      <c r="H67" s="2494"/>
      <c r="I67" s="138"/>
      <c r="J67" s="3179"/>
      <c r="K67" s="2496" t="s">
        <v>2206</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8" t="s">
        <v>773</v>
      </c>
      <c r="B68" s="209" t="s">
        <v>2207</v>
      </c>
      <c r="C68" s="210">
        <f ca="1">IF(C67&lt;=0,0,ROUND(C67*D68,0))</f>
        <v>146</v>
      </c>
      <c r="D68" s="211">
        <f>'数据-取费表'!B41</f>
        <v>5.6000000000000001E-2</v>
      </c>
      <c r="E68" s="212"/>
      <c r="F68" s="2486"/>
      <c r="G68" s="2486"/>
      <c r="H68" s="2494"/>
      <c r="I68" s="138"/>
      <c r="J68" s="3179"/>
      <c r="K68" s="2496" t="s">
        <v>2208</v>
      </c>
      <c r="L68" s="1748">
        <f ca="1">IF(M49&gt;10000,M49*0.5%,IF(AND(M49&gt;5000,M49&lt;=10000),M49*1%,IF(AND(M49&gt;1000,M49&lt;=5000),M49*2%,IF(AND(M49&gt;200,M49&lt;=1000),M49*3%,M49*5%))))</f>
        <v>54.84</v>
      </c>
      <c r="M68" s="24">
        <f ca="1">ROUND(L68,1)</f>
        <v>54.8</v>
      </c>
      <c r="Z68" s="2420"/>
      <c r="AI68" s="2421"/>
    </row>
    <row r="69" spans="1:35" s="2443" customFormat="1" ht="16.5" customHeight="1">
      <c r="A69" s="2497"/>
      <c r="B69" s="2498"/>
      <c r="C69" s="2499"/>
      <c r="D69" s="2500"/>
      <c r="E69" s="2501"/>
      <c r="F69" s="2164"/>
      <c r="G69" s="2164"/>
      <c r="H69" s="2163"/>
      <c r="I69" s="2415"/>
      <c r="J69" s="3179"/>
      <c r="K69" s="2496" t="s">
        <v>2209</v>
      </c>
      <c r="L69" s="2502"/>
      <c r="M69" s="24">
        <f ca="1">ROUND(SUM(M63:M68),0)</f>
        <v>102</v>
      </c>
      <c r="N69" s="1749">
        <f ca="1">M69/M49</f>
        <v>3.7199124726477024E-2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8" t="s">
        <v>2210</v>
      </c>
      <c r="B70" s="3139"/>
      <c r="C70" s="3139"/>
      <c r="D70" s="3139"/>
      <c r="E70" s="3139"/>
      <c r="F70" s="3139"/>
      <c r="G70" s="3139"/>
      <c r="H70" s="313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7" t="s">
        <v>2191</v>
      </c>
      <c r="B71" s="3118"/>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2611</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16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2" t="s">
        <v>2219</v>
      </c>
      <c r="F76" s="3089"/>
      <c r="G76" s="3089"/>
      <c r="H76" s="313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16</v>
      </c>
      <c r="D78" s="226">
        <f>'数据-取费表'!B43</f>
        <v>6.000000000000001E-3</v>
      </c>
      <c r="E78" s="3098" t="s">
        <v>2224</v>
      </c>
      <c r="F78" s="3099"/>
      <c r="G78" s="3099"/>
      <c r="H78" s="310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2595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162.1875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1551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8" t="s">
        <v>2228</v>
      </c>
      <c r="B83" s="3139"/>
      <c r="C83" s="3139"/>
      <c r="D83" s="3139"/>
      <c r="E83" s="3139"/>
      <c r="F83" s="3139"/>
      <c r="G83" s="3139"/>
      <c r="H83" s="313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7" t="s">
        <v>2191</v>
      </c>
      <c r="B84" s="3118"/>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2611</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16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8" t="s">
        <v>2237</v>
      </c>
      <c r="F91" s="3099"/>
      <c r="G91" s="3099"/>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8" t="s">
        <v>2241</v>
      </c>
      <c r="F92" s="3099"/>
      <c r="G92" s="3099"/>
      <c r="H92" s="310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16</v>
      </c>
      <c r="D93" s="226">
        <f>'数据-取费表'!B43</f>
        <v>6.000000000000001E-3</v>
      </c>
      <c r="E93" s="3098" t="s">
        <v>2224</v>
      </c>
      <c r="F93" s="3099"/>
      <c r="G93" s="3099"/>
      <c r="H93" s="310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9" t="s">
        <v>2245</v>
      </c>
      <c r="F94" s="3110"/>
      <c r="G94" s="3110"/>
      <c r="H94" s="311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2595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162.1875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1551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3" t="s">
        <v>2247</v>
      </c>
      <c r="B100" s="3084"/>
      <c r="C100" s="3084"/>
      <c r="D100" s="3100"/>
      <c r="E100" s="3084" t="s">
        <v>2248</v>
      </c>
      <c r="F100" s="3084"/>
      <c r="G100" s="3084"/>
      <c r="H100" s="3100"/>
      <c r="I100" s="138"/>
    </row>
    <row r="101" spans="1:35" ht="18.75" customHeight="1">
      <c r="A101" s="3162" t="s">
        <v>2249</v>
      </c>
      <c r="B101" s="3163"/>
      <c r="C101" s="736" t="str">
        <f>C4</f>
        <v>成本法</v>
      </c>
      <c r="D101" s="737" t="str">
        <f>D4</f>
        <v>假设开发法</v>
      </c>
      <c r="E101" s="3176" t="s">
        <v>2250</v>
      </c>
      <c r="F101" s="3130"/>
      <c r="G101" s="2517" t="s">
        <v>2251</v>
      </c>
      <c r="H101" s="1045">
        <f ca="1">H118</f>
        <v>2742</v>
      </c>
      <c r="I101" s="138"/>
    </row>
    <row r="102" spans="1:35" ht="18.75" customHeight="1">
      <c r="A102" s="3132" t="s">
        <v>2252</v>
      </c>
      <c r="B102" s="2517" t="s">
        <v>2251</v>
      </c>
      <c r="C102" s="736">
        <f ca="1">C19</f>
        <v>2498</v>
      </c>
      <c r="D102" s="737">
        <f ca="1">D19</f>
        <v>2985</v>
      </c>
      <c r="E102" s="3176"/>
      <c r="F102" s="3130"/>
      <c r="G102" s="2517" t="s">
        <v>2253</v>
      </c>
      <c r="H102" s="371">
        <f ca="1">I118</f>
        <v>11801</v>
      </c>
      <c r="I102" s="138"/>
    </row>
    <row r="103" spans="1:35" ht="42.75" customHeight="1">
      <c r="A103" s="3132"/>
      <c r="B103" s="2517" t="s">
        <v>2253</v>
      </c>
      <c r="C103" s="738">
        <f ca="1">C20</f>
        <v>10751</v>
      </c>
      <c r="D103" s="739">
        <f ca="1">D20</f>
        <v>12847</v>
      </c>
      <c r="E103" s="3171" t="s">
        <v>2254</v>
      </c>
      <c r="F103" s="3172"/>
      <c r="G103" s="2518" t="s">
        <v>2255</v>
      </c>
      <c r="H103" s="1045">
        <f>IF(D36="正常操作",H104+H105+H106,H105+H106)</f>
        <v>0</v>
      </c>
      <c r="I103" s="138"/>
    </row>
    <row r="104" spans="1:35" ht="18.75" customHeight="1">
      <c r="A104" s="3132" t="s">
        <v>2256</v>
      </c>
      <c r="B104" s="2519" t="s">
        <v>2251</v>
      </c>
      <c r="C104" s="740">
        <f ca="1">H118</f>
        <v>2742</v>
      </c>
      <c r="D104" s="741"/>
      <c r="E104" s="2265" t="s">
        <v>2257</v>
      </c>
      <c r="F104" s="2256"/>
      <c r="G104" s="2518" t="s">
        <v>2255</v>
      </c>
      <c r="H104" s="1046">
        <f>IF(D36="同一抵押权人同一抵押物续贷",C36&amp;"（未扣减，详见特别提示）",C36)</f>
        <v>0</v>
      </c>
      <c r="I104" s="138"/>
    </row>
    <row r="105" spans="1:35" ht="18.75" customHeight="1" thickBot="1">
      <c r="A105" s="3133"/>
      <c r="B105" s="2520" t="s">
        <v>2253</v>
      </c>
      <c r="C105" s="742">
        <f ca="1">I118</f>
        <v>11801</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9" t="str">
        <f>IF(项目基本情况!E8="已注销","——","3.房地产抵押价值")</f>
        <v>3.房地产抵押价值</v>
      </c>
      <c r="F107" s="3130"/>
      <c r="G107" s="2517" t="s">
        <v>2251</v>
      </c>
      <c r="H107" s="1045">
        <f ca="1">IF(E107="——","——",H101-H103)</f>
        <v>2742</v>
      </c>
      <c r="I107" s="138"/>
    </row>
    <row r="108" spans="1:35" ht="18.75" customHeight="1">
      <c r="A108" s="138"/>
      <c r="B108" s="138"/>
      <c r="C108" s="138"/>
      <c r="D108" s="138"/>
      <c r="E108" s="3129"/>
      <c r="F108" s="3130"/>
      <c r="G108" s="2517" t="s">
        <v>2253</v>
      </c>
      <c r="H108" s="371">
        <f ca="1">ROUND(H107*10000/'数据-汇总表'!E3,0)</f>
        <v>11801</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17" t="s">
        <v>2251</v>
      </c>
      <c r="H109" s="348" t="str">
        <f>IF(E109="——","——",H101-H105-H106)</f>
        <v>——</v>
      </c>
      <c r="I109" s="138"/>
    </row>
    <row r="110" spans="1:35" ht="18.75" customHeight="1">
      <c r="A110" s="138"/>
      <c r="B110" s="138"/>
      <c r="C110" s="138"/>
      <c r="D110" s="138"/>
      <c r="E110" s="3129"/>
      <c r="F110" s="3130"/>
      <c r="G110" s="2517" t="s">
        <v>2253</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17" t="s">
        <v>2251</v>
      </c>
      <c r="H111" s="1045" t="str">
        <f>IF(E111="——","——",N59)</f>
        <v>——</v>
      </c>
      <c r="I111" s="138"/>
    </row>
    <row r="112" spans="1:35" ht="18.75" customHeight="1" thickBot="1">
      <c r="A112" s="138"/>
      <c r="B112" s="138"/>
      <c r="C112" s="138"/>
      <c r="D112" s="138"/>
      <c r="E112" s="3166"/>
      <c r="F112" s="3167"/>
      <c r="G112" s="2522" t="s">
        <v>2253</v>
      </c>
      <c r="H112" s="790" t="str">
        <f>IF(E111="——","——",N61)</f>
        <v>——</v>
      </c>
      <c r="I112" s="138"/>
    </row>
    <row r="113" spans="1:11" ht="18.75" customHeight="1">
      <c r="A113" s="138"/>
      <c r="B113" s="138"/>
      <c r="C113" s="138"/>
      <c r="D113" s="138"/>
      <c r="E113" s="3134" t="s">
        <v>2259</v>
      </c>
      <c r="F113" s="3134"/>
      <c r="G113" s="3134"/>
      <c r="H113" s="3134"/>
      <c r="I113" s="138"/>
    </row>
    <row r="114" spans="1:11" ht="3.75" customHeight="1">
      <c r="A114" s="2415"/>
      <c r="B114" s="2415"/>
      <c r="C114" s="2415"/>
      <c r="D114" s="2415"/>
      <c r="E114" s="2493"/>
      <c r="F114" s="2493"/>
      <c r="G114" s="2493"/>
      <c r="H114" s="2493"/>
      <c r="I114" s="2415"/>
    </row>
    <row r="115" spans="1:11" ht="18.75" customHeight="1">
      <c r="A115" s="3147" t="s">
        <v>2261</v>
      </c>
      <c r="B115" s="3148"/>
      <c r="C115" s="3148"/>
      <c r="D115" s="3148"/>
      <c r="E115" s="3148"/>
      <c r="F115" s="3148"/>
      <c r="G115" s="3148"/>
      <c r="H115" s="3148"/>
      <c r="I115" s="3149"/>
    </row>
    <row r="116" spans="1:11" ht="27" customHeight="1">
      <c r="A116" s="3040" t="s">
        <v>2262</v>
      </c>
      <c r="B116" s="3135" t="s">
        <v>3360</v>
      </c>
      <c r="C116" s="3135" t="s">
        <v>2263</v>
      </c>
      <c r="D116" s="3151" t="s">
        <v>2264</v>
      </c>
      <c r="E116" s="3152"/>
      <c r="F116" s="3143" t="s">
        <v>2265</v>
      </c>
      <c r="G116" s="3143"/>
      <c r="H116" s="3040" t="s">
        <v>2266</v>
      </c>
      <c r="I116" s="3040"/>
    </row>
    <row r="117" spans="1:11" ht="18.75" customHeight="1">
      <c r="A117" s="3040"/>
      <c r="B117" s="3136"/>
      <c r="C117" s="3136"/>
      <c r="D117" s="1794" t="s">
        <v>2267</v>
      </c>
      <c r="E117" s="1794" t="s">
        <v>2268</v>
      </c>
      <c r="F117" s="1794" t="s">
        <v>2267</v>
      </c>
      <c r="G117" s="1794" t="s">
        <v>2269</v>
      </c>
      <c r="H117" s="1794" t="s">
        <v>2267</v>
      </c>
      <c r="I117" s="1794" t="s">
        <v>2269</v>
      </c>
    </row>
    <row r="118" spans="1:11" ht="24.75" customHeight="1">
      <c r="A118" s="2523" t="str">
        <f>项目基本情况!S2</f>
        <v>山东省济南市高新区旅游路以南、凤凰路以西A-13出让国有建设用地使用权及在建建筑物房地产</v>
      </c>
      <c r="B118" s="1794">
        <f>M18</f>
        <v>2323.5299999999997</v>
      </c>
      <c r="C118" s="1794">
        <f>M19</f>
        <v>1244.6199999999999</v>
      </c>
      <c r="D118" s="1794">
        <f ca="1">ROUND(IF(D32="总价",C34,E118*B118/10000),0)</f>
        <v>1988</v>
      </c>
      <c r="E118" s="1794">
        <f ca="1">ROUND(IF(C33="自定义",IF(D32="楼面单价",C34,D118*10000/B118),I118-G118),0)</f>
        <v>8556</v>
      </c>
      <c r="F118" s="1794">
        <f ca="1">ROUND(IF(D32="总价",C35,G118*B118/10000),0)</f>
        <v>754</v>
      </c>
      <c r="G118" s="1794">
        <f ca="1">ROUND(IF(D32="楼面单价",C35,F118*10000/B118),0)</f>
        <v>3245</v>
      </c>
      <c r="H118" s="1794">
        <f ca="1">ROUND(IF(D32="总价",C32,I118*B118/10000),0)</f>
        <v>2742</v>
      </c>
      <c r="I118" s="1794">
        <f ca="1">ROUND(IF(D32="楼面单价",C32,H118*10000/B118),0)</f>
        <v>11801</v>
      </c>
    </row>
    <row r="119" spans="1:11" ht="18.75" customHeight="1">
      <c r="A119" s="3040" t="s">
        <v>2270</v>
      </c>
      <c r="B119" s="3040"/>
      <c r="C119" s="3040"/>
      <c r="D119" s="3140" t="str">
        <f ca="1">NUMBERSTRING(INT(D118*10000),2)&amp;"元整"</f>
        <v>壹仟玖佰捌拾捌万元整</v>
      </c>
      <c r="E119" s="3142"/>
      <c r="F119" s="3140" t="str">
        <f ca="1">NUMBERSTRING(INT(F118*10000),2)&amp;"元整"</f>
        <v>柒佰伍拾肆万元整</v>
      </c>
      <c r="G119" s="3142"/>
      <c r="H119" s="3140" t="str">
        <f ca="1">NUMBERSTRING(INT(H118*10000),2)&amp;"元整"</f>
        <v>贰仟柒佰肆拾贰万元整</v>
      </c>
      <c r="I119" s="3142"/>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20" t="str">
        <f>IF(D120=0,"故，本次评估不存在"&amp;A120,"故，本次评估"&amp;A120&amp;"为人民币"&amp;D120&amp;"万元整。")</f>
        <v>故，本次评估不存在估价师知悉的法定优先受偿款</v>
      </c>
    </row>
    <row r="121" spans="1:11" ht="18.75" customHeight="1">
      <c r="A121" s="3144" t="s">
        <v>2270</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房地产抵押价值</v>
      </c>
      <c r="B122" s="3131"/>
      <c r="C122" s="3131"/>
      <c r="D122" s="3168">
        <f ca="1">H107</f>
        <v>2742</v>
      </c>
      <c r="E122" s="3169"/>
      <c r="F122" s="3169"/>
      <c r="G122" s="3169"/>
      <c r="H122" s="3169"/>
      <c r="I122" s="3170"/>
    </row>
    <row r="123" spans="1:11" ht="18.75" customHeight="1">
      <c r="A123" s="3040" t="s">
        <v>2270</v>
      </c>
      <c r="B123" s="3040"/>
      <c r="C123" s="3040"/>
      <c r="D123" s="3140" t="str">
        <f ca="1">NUMBERSTRING(INT(D122*10000),2)&amp;"元整"</f>
        <v>贰仟柒佰肆拾贰万元整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2270</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2270</v>
      </c>
      <c r="B127" s="3040"/>
      <c r="C127" s="3040"/>
      <c r="D127" s="3140" t="e">
        <f>NUMBERSTRING(INT(D126*10000),2)&amp;"元整"</f>
        <v>#VALUE!</v>
      </c>
      <c r="E127" s="3141"/>
      <c r="F127" s="3141"/>
      <c r="G127" s="3141"/>
      <c r="H127" s="3141"/>
      <c r="I127" s="3142"/>
    </row>
    <row r="128" spans="1:11" ht="21.75" customHeight="1">
      <c r="A128" s="3150" t="s">
        <v>2271</v>
      </c>
      <c r="B128" s="3150"/>
      <c r="C128" s="3150"/>
      <c r="D128" s="3150"/>
      <c r="E128" s="3150"/>
      <c r="F128" s="3150"/>
      <c r="G128" s="3150"/>
      <c r="H128" s="3150"/>
      <c r="I128" s="3150"/>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L15" sqref="L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303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1304</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7" t="s">
        <v>2597</v>
      </c>
      <c r="AC4" s="3196" t="s">
        <v>2598</v>
      </c>
    </row>
    <row r="5" spans="1:30" ht="15">
      <c r="A5" s="404"/>
      <c r="B5" s="405"/>
      <c r="C5" s="3221" t="str">
        <f>项目基本情况!F10</f>
        <v>高新区旅游路以南、凤凰路以西A-13</v>
      </c>
      <c r="D5" s="3217"/>
      <c r="E5" s="3224" t="str">
        <f>土地案例!B8</f>
        <v>西客站片区会展中心西侧地块B-2</v>
      </c>
      <c r="F5" s="3225"/>
      <c r="G5" s="3216" t="str">
        <f>土地案例!B9</f>
        <v>槐荫区西客站片区,威海路以南,滨洲路以西</v>
      </c>
      <c r="H5" s="3217"/>
      <c r="I5" s="3216" t="str">
        <f>土地案例!B12</f>
        <v>东至齐鲁大道,北至横支10号路,西至纵支2号路,南至用地边界</v>
      </c>
      <c r="J5" s="3217"/>
      <c r="K5" s="610"/>
      <c r="L5" s="1130"/>
      <c r="M5" s="1131"/>
      <c r="N5" s="1131"/>
      <c r="O5" s="1131"/>
      <c r="P5" s="3204"/>
      <c r="Q5" s="3205"/>
      <c r="R5" s="3210"/>
      <c r="S5" s="3211"/>
      <c r="T5" s="3210"/>
      <c r="U5" s="3211"/>
      <c r="V5" s="3195"/>
      <c r="W5" s="3195"/>
      <c r="X5" s="1812"/>
      <c r="Y5" s="3210"/>
      <c r="Z5" s="3211"/>
      <c r="AA5" s="3197"/>
      <c r="AB5" s="3197"/>
      <c r="AC5" s="3197"/>
    </row>
    <row r="6" spans="1:30" ht="15.75" thickBot="1">
      <c r="A6" s="406"/>
      <c r="B6" s="407"/>
      <c r="C6" s="3214" t="s">
        <v>2496</v>
      </c>
      <c r="D6" s="3215"/>
      <c r="E6" s="3222" t="s">
        <v>2496</v>
      </c>
      <c r="F6" s="3223"/>
      <c r="G6" s="3214" t="s">
        <v>2496</v>
      </c>
      <c r="H6" s="3215"/>
      <c r="I6" s="3214" t="s">
        <v>2496</v>
      </c>
      <c r="J6" s="3215"/>
      <c r="K6" s="610" t="s">
        <v>2497</v>
      </c>
      <c r="L6" s="1130"/>
      <c r="M6" s="1131"/>
      <c r="N6" s="1131"/>
      <c r="O6" s="1131"/>
      <c r="P6" s="3206"/>
      <c r="Q6" s="3207"/>
      <c r="R6" s="3210"/>
      <c r="S6" s="3211"/>
      <c r="T6" s="3212"/>
      <c r="U6" s="3213"/>
      <c r="V6" s="3195"/>
      <c r="W6" s="3195"/>
      <c r="X6" s="1812"/>
      <c r="Y6" s="3212"/>
      <c r="Z6" s="3213"/>
      <c r="AA6" s="3198"/>
      <c r="AB6" s="3198"/>
      <c r="AC6" s="3198"/>
    </row>
    <row r="7" spans="1:30" s="117" customFormat="1" ht="15.75" thickBot="1">
      <c r="A7" s="408" t="s">
        <v>2498</v>
      </c>
      <c r="B7" s="409"/>
      <c r="C7" s="410">
        <f>'数据-取费表'!B2</f>
        <v>43871</v>
      </c>
      <c r="D7" s="411">
        <v>100</v>
      </c>
      <c r="E7" s="412" t="str">
        <f>土地案例!H8</f>
        <v>2018-12-07</v>
      </c>
      <c r="F7" s="413">
        <f>SUMIF(70:70,YEAR(E7)&amp;"-"&amp;INT((MONTH(E7)+2)/3),71:71)</f>
        <v>97.5</v>
      </c>
      <c r="G7" s="2695" t="str">
        <f>土地案例!H9</f>
        <v>2018-12-07</v>
      </c>
      <c r="H7" s="411">
        <f>SUMIF(70:70,YEAR(G7)&amp;"-"&amp;INT((MONTH(G7)+2)/3),71:71)</f>
        <v>97.5</v>
      </c>
      <c r="I7" s="2695" t="str">
        <f>土地案例!H12</f>
        <v>2017-08-04</v>
      </c>
      <c r="J7" s="411">
        <f>SUMIF(70:70,YEAR(I7)&amp;"-"&amp;INT((MONTH(I7)+2)/3),71:71)</f>
        <v>95</v>
      </c>
      <c r="K7" s="611"/>
      <c r="L7" s="1132"/>
      <c r="M7" s="1133"/>
      <c r="N7" s="1133"/>
      <c r="O7" s="1133"/>
      <c r="P7" s="3218" t="s">
        <v>2499</v>
      </c>
      <c r="Q7" s="3220"/>
      <c r="R7" s="770" t="s">
        <v>17</v>
      </c>
      <c r="S7" s="771">
        <f t="shared" ref="S7:S15" si="0">F7</f>
        <v>97.5</v>
      </c>
      <c r="T7" s="770" t="s">
        <v>17</v>
      </c>
      <c r="U7" s="771">
        <f t="shared" ref="U7:U15" si="1">H7</f>
        <v>97.5</v>
      </c>
      <c r="V7" s="770" t="s">
        <v>17</v>
      </c>
      <c r="W7" s="771">
        <f t="shared" ref="W7:W15" si="2">J7</f>
        <v>95</v>
      </c>
      <c r="X7" s="772"/>
      <c r="Y7" s="3218" t="s">
        <v>2499</v>
      </c>
      <c r="Z7" s="3219"/>
      <c r="AA7" s="773">
        <f>D7/F7</f>
        <v>1.0256410256410255</v>
      </c>
      <c r="AB7" s="773">
        <f>D7/H7</f>
        <v>1.0256410256410255</v>
      </c>
      <c r="AC7" s="773">
        <f>D7/J7</f>
        <v>1.0526315789473684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8" t="s">
        <v>2502</v>
      </c>
      <c r="Q8" s="3219"/>
      <c r="R8" s="770" t="s">
        <v>17</v>
      </c>
      <c r="S8" s="771">
        <f t="shared" si="0"/>
        <v>100</v>
      </c>
      <c r="T8" s="770" t="s">
        <v>17</v>
      </c>
      <c r="U8" s="771">
        <f t="shared" si="1"/>
        <v>100</v>
      </c>
      <c r="V8" s="770" t="s">
        <v>17</v>
      </c>
      <c r="W8" s="771">
        <f t="shared" si="2"/>
        <v>100</v>
      </c>
      <c r="X8" s="772"/>
      <c r="Y8" s="3218" t="s">
        <v>2502</v>
      </c>
      <c r="Z8" s="3219"/>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9"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37.69</v>
      </c>
      <c r="D10" s="136">
        <v>100</v>
      </c>
      <c r="E10" s="465" t="s">
        <v>3290</v>
      </c>
      <c r="F10" s="136">
        <f>ROUND(100/'数据-取费表'!G16,0)</f>
        <v>101</v>
      </c>
      <c r="G10" s="463" t="s">
        <v>3290</v>
      </c>
      <c r="H10" s="136">
        <f>ROUND(100/'数据-取费表'!G16,0)</f>
        <v>101</v>
      </c>
      <c r="I10" s="463" t="s">
        <v>3290</v>
      </c>
      <c r="J10" s="136">
        <f>ROUND(100/'数据-取费表'!G16,0)</f>
        <v>101</v>
      </c>
      <c r="K10" s="672"/>
      <c r="L10" s="1135"/>
      <c r="M10" s="1136"/>
      <c r="N10" s="1136"/>
      <c r="O10" s="1137"/>
      <c r="P10" s="3189"/>
      <c r="Q10" s="1794"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30" ht="15">
      <c r="A11" s="428"/>
      <c r="B11" s="422" t="s">
        <v>2508</v>
      </c>
      <c r="C11" s="429">
        <f>'数据-汇总表'!I4</f>
        <v>1.66</v>
      </c>
      <c r="D11" s="136">
        <v>100</v>
      </c>
      <c r="E11" s="429">
        <v>5.5</v>
      </c>
      <c r="F11" s="136">
        <f>LOOKUP(E11,80:80,81:81)-LOOKUP(C11,80:80,81:81)+100</f>
        <v>72</v>
      </c>
      <c r="G11" s="430">
        <v>5.5</v>
      </c>
      <c r="H11" s="136">
        <f>LOOKUP(G11,80:80,81:81)-LOOKUP(C11,80:80,81:81)+100</f>
        <v>72</v>
      </c>
      <c r="I11" s="429">
        <v>4.5</v>
      </c>
      <c r="J11" s="136">
        <f>LOOKUP(I11,80:80,81:81)-LOOKUP(C11,80:80,81:81)+100</f>
        <v>79</v>
      </c>
      <c r="K11" s="673">
        <v>7</v>
      </c>
      <c r="L11" s="1138"/>
      <c r="M11" s="1131"/>
      <c r="N11" s="1131"/>
      <c r="O11" s="1139"/>
      <c r="P11" s="3189"/>
      <c r="Q11" s="1794" t="str">
        <f t="shared" si="6"/>
        <v>容积率</v>
      </c>
      <c r="R11" s="770" t="s">
        <v>17</v>
      </c>
      <c r="S11" s="771">
        <f t="shared" si="0"/>
        <v>72</v>
      </c>
      <c r="T11" s="770" t="s">
        <v>17</v>
      </c>
      <c r="U11" s="771">
        <f t="shared" si="1"/>
        <v>72</v>
      </c>
      <c r="V11" s="770" t="s">
        <v>17</v>
      </c>
      <c r="W11" s="771">
        <f t="shared" si="2"/>
        <v>79</v>
      </c>
      <c r="X11" s="772"/>
      <c r="Y11" s="3040"/>
      <c r="Z11" s="55" t="str">
        <f t="shared" si="7"/>
        <v>容积率</v>
      </c>
      <c r="AA11" s="773">
        <f t="shared" si="3"/>
        <v>1.3888888888888888</v>
      </c>
      <c r="AB11" s="773">
        <f t="shared" si="4"/>
        <v>1.3888888888888888</v>
      </c>
      <c r="AC11" s="773">
        <f t="shared" si="5"/>
        <v>1.2658227848101267</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94">
        <f t="shared" si="6"/>
        <v>0</v>
      </c>
      <c r="R12" s="770" t="s">
        <v>17</v>
      </c>
      <c r="S12" s="771">
        <f t="shared" si="0"/>
        <v>100</v>
      </c>
      <c r="T12" s="770" t="s">
        <v>17</v>
      </c>
      <c r="U12" s="771">
        <f t="shared" si="1"/>
        <v>100</v>
      </c>
      <c r="V12" s="770" t="s">
        <v>17</v>
      </c>
      <c r="W12" s="771">
        <f t="shared" si="2"/>
        <v>100</v>
      </c>
      <c r="X12" s="772"/>
      <c r="Y12" s="3040"/>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4">
        <f t="shared" si="6"/>
        <v>0</v>
      </c>
      <c r="R13" s="770" t="s">
        <v>17</v>
      </c>
      <c r="S13" s="771">
        <f t="shared" si="0"/>
        <v>100</v>
      </c>
      <c r="T13" s="770" t="s">
        <v>17</v>
      </c>
      <c r="U13" s="771">
        <f t="shared" si="1"/>
        <v>100</v>
      </c>
      <c r="V13" s="770" t="s">
        <v>17</v>
      </c>
      <c r="W13" s="771">
        <f t="shared" si="2"/>
        <v>100</v>
      </c>
      <c r="X13" s="772"/>
      <c r="Y13" s="3040"/>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4">
        <f t="shared" si="6"/>
        <v>0</v>
      </c>
      <c r="R14" s="770" t="s">
        <v>17</v>
      </c>
      <c r="S14" s="771">
        <f t="shared" si="0"/>
        <v>100</v>
      </c>
      <c r="T14" s="770" t="s">
        <v>17</v>
      </c>
      <c r="U14" s="771">
        <f t="shared" si="1"/>
        <v>100</v>
      </c>
      <c r="V14" s="770" t="s">
        <v>17</v>
      </c>
      <c r="W14" s="771">
        <f t="shared" si="2"/>
        <v>100</v>
      </c>
      <c r="X14" s="772"/>
      <c r="Y14" s="3040"/>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3310</v>
      </c>
      <c r="F15" s="441">
        <f>SUMIF(88:88,E16,89:89)-SUMIF(88:88,C16,89:89)+100</f>
        <v>100</v>
      </c>
      <c r="G15" s="442" t="s">
        <v>3291</v>
      </c>
      <c r="H15" s="441">
        <f>SUMIF(88:88,G16,89:89)-SUMIF(88:88,C16,89:89)+100</f>
        <v>100</v>
      </c>
      <c r="I15" s="2963" t="s">
        <v>3291</v>
      </c>
      <c r="J15" s="441">
        <f>SUMIF(88:88,I16,89:89)-SUMIF(88:88,C16,89:89)+100</f>
        <v>100</v>
      </c>
      <c r="K15" s="673">
        <v>2</v>
      </c>
      <c r="L15" s="1140"/>
      <c r="M15" s="1131"/>
      <c r="N15" s="1131"/>
      <c r="O15" s="1139"/>
      <c r="P15" s="3191" t="s">
        <v>2510</v>
      </c>
      <c r="Q15" s="1809" t="str">
        <f t="shared" si="6"/>
        <v>居住社区成熟度</v>
      </c>
      <c r="R15" s="774" t="s">
        <v>17</v>
      </c>
      <c r="S15" s="775">
        <f t="shared" si="0"/>
        <v>100</v>
      </c>
      <c r="T15" s="774" t="s">
        <v>17</v>
      </c>
      <c r="U15" s="775">
        <f t="shared" si="1"/>
        <v>100</v>
      </c>
      <c r="V15" s="774" t="s">
        <v>17</v>
      </c>
      <c r="W15" s="775">
        <f t="shared" si="2"/>
        <v>100</v>
      </c>
      <c r="X15" s="1812"/>
      <c r="Y15" s="3191"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3308</v>
      </c>
      <c r="F17" s="450">
        <f>SUMIF(90:90,E18,91:91)-SUMIF(90:90,C18,91:91)+100</f>
        <v>100</v>
      </c>
      <c r="G17" s="2962" t="s">
        <v>3308</v>
      </c>
      <c r="H17" s="455">
        <f>SUMIF(90:90,G18,91:91)-SUMIF(90:90,C18,91:91)+100</f>
        <v>100</v>
      </c>
      <c r="I17" s="2962" t="s">
        <v>3341</v>
      </c>
      <c r="J17" s="455">
        <f>SUMIF(90:90,I18,91:91)-SUMIF(90:90,C18,91:91)+100</f>
        <v>100</v>
      </c>
      <c r="K17" s="673">
        <v>1</v>
      </c>
      <c r="L17" s="1140"/>
      <c r="M17" s="1131"/>
      <c r="N17" s="1131"/>
      <c r="O17" s="1139"/>
      <c r="P17" s="3192"/>
      <c r="Q17" s="1809" t="str">
        <f>B17</f>
        <v>商业繁华度</v>
      </c>
      <c r="R17" s="774" t="s">
        <v>17</v>
      </c>
      <c r="S17" s="775">
        <f>F17</f>
        <v>100</v>
      </c>
      <c r="T17" s="774" t="s">
        <v>17</v>
      </c>
      <c r="U17" s="775">
        <f>H17</f>
        <v>100</v>
      </c>
      <c r="V17" s="774" t="s">
        <v>17</v>
      </c>
      <c r="W17" s="775">
        <f>J17</f>
        <v>100</v>
      </c>
      <c r="X17" s="1812"/>
      <c r="Y17" s="3192"/>
      <c r="Z17" s="1813" t="str">
        <f>Q17</f>
        <v>商业繁华度</v>
      </c>
      <c r="AA17" s="1810">
        <f t="shared" si="3"/>
        <v>1</v>
      </c>
      <c r="AB17" s="1810">
        <f t="shared" si="4"/>
        <v>1</v>
      </c>
      <c r="AC17" s="1810">
        <f t="shared" si="5"/>
        <v>1</v>
      </c>
    </row>
    <row r="18" spans="1:29" ht="15">
      <c r="A18" s="428"/>
      <c r="B18" s="456"/>
      <c r="C18" s="2607" t="s">
        <v>3306</v>
      </c>
      <c r="D18" s="450"/>
      <c r="E18" s="2609" t="s">
        <v>3306</v>
      </c>
      <c r="F18" s="450"/>
      <c r="G18" s="2609" t="s">
        <v>3306</v>
      </c>
      <c r="H18" s="448"/>
      <c r="I18" s="2609" t="s">
        <v>3306</v>
      </c>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92"/>
      <c r="Q19" s="1809" t="str">
        <f>B19</f>
        <v>办公集聚程度</v>
      </c>
      <c r="R19" s="774" t="s">
        <v>17</v>
      </c>
      <c r="S19" s="775">
        <f>F19</f>
        <v>100</v>
      </c>
      <c r="T19" s="774" t="s">
        <v>17</v>
      </c>
      <c r="U19" s="775">
        <f>H19</f>
        <v>100</v>
      </c>
      <c r="V19" s="774" t="s">
        <v>17</v>
      </c>
      <c r="W19" s="775">
        <f>J19</f>
        <v>100</v>
      </c>
      <c r="X19" s="1812"/>
      <c r="Y19" s="3192"/>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192"/>
      <c r="Q20" s="1809"/>
      <c r="R20" s="774"/>
      <c r="S20" s="775"/>
      <c r="T20" s="774"/>
      <c r="U20" s="775"/>
      <c r="V20" s="774"/>
      <c r="W20" s="775"/>
      <c r="X20" s="1812"/>
      <c r="Y20" s="3192"/>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3309</v>
      </c>
      <c r="F21" s="455">
        <f>SUMIF(94:94,E22,95:95)-SUMIF(94:94,C22,95:95)+100</f>
        <v>100</v>
      </c>
      <c r="G21" s="2962" t="s">
        <v>3309</v>
      </c>
      <c r="H21" s="450">
        <f>SUMIF(94:94,G22,95:95)-SUMIF(94:94,C22,95:95)+100</f>
        <v>100</v>
      </c>
      <c r="I21" s="2962" t="s">
        <v>3342</v>
      </c>
      <c r="J21" s="450">
        <f>SUMIF(94:94,I22,95:95)-SUMIF(94:94,C22,95:95)+100</f>
        <v>100</v>
      </c>
      <c r="K21" s="673">
        <v>1</v>
      </c>
      <c r="L21" s="1140"/>
      <c r="M21" s="1131"/>
      <c r="N21" s="1131"/>
      <c r="O21" s="1139"/>
      <c r="P21" s="3192"/>
      <c r="Q21" s="1809" t="str">
        <f>B21</f>
        <v>交通便捷度</v>
      </c>
      <c r="R21" s="774" t="s">
        <v>17</v>
      </c>
      <c r="S21" s="775">
        <f>F21</f>
        <v>100</v>
      </c>
      <c r="T21" s="774" t="s">
        <v>17</v>
      </c>
      <c r="U21" s="775">
        <f>H21</f>
        <v>100</v>
      </c>
      <c r="V21" s="774" t="s">
        <v>17</v>
      </c>
      <c r="W21" s="775">
        <f>J21</f>
        <v>100</v>
      </c>
      <c r="X21" s="1812"/>
      <c r="Y21" s="3192"/>
      <c r="Z21" s="1813" t="str">
        <f>Q21</f>
        <v>交通便捷度</v>
      </c>
      <c r="AA21" s="1810">
        <f t="shared" si="3"/>
        <v>1</v>
      </c>
      <c r="AB21" s="1810">
        <f t="shared" si="4"/>
        <v>1</v>
      </c>
      <c r="AC21" s="1810">
        <f t="shared" si="5"/>
        <v>1</v>
      </c>
    </row>
    <row r="22" spans="1:29" ht="15">
      <c r="A22" s="428"/>
      <c r="B22" s="1384"/>
      <c r="C22" s="447" t="s">
        <v>3306</v>
      </c>
      <c r="D22" s="450"/>
      <c r="E22" s="2604" t="s">
        <v>3306</v>
      </c>
      <c r="F22" s="448"/>
      <c r="G22" s="2604" t="s">
        <v>3306</v>
      </c>
      <c r="H22" s="448"/>
      <c r="I22" s="2604" t="s">
        <v>3306</v>
      </c>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ht="15">
      <c r="A23" s="404"/>
      <c r="B23" s="451" t="s">
        <v>2696</v>
      </c>
      <c r="C23" s="1389" t="str">
        <f>估价对象房地状况!C19</f>
        <v>较一致</v>
      </c>
      <c r="D23" s="455">
        <v>100</v>
      </c>
      <c r="E23" s="452" t="s">
        <v>3303</v>
      </c>
      <c r="F23" s="455">
        <f>SUMIF(96:96,E24,97:97)-SUMIF(96:96,C24,97:97)+100</f>
        <v>100</v>
      </c>
      <c r="G23" s="452" t="s">
        <v>3303</v>
      </c>
      <c r="H23" s="455">
        <f>SUMIF(96:96,G24,97:97)-SUMIF(96:96,C24,97:97)+100</f>
        <v>100</v>
      </c>
      <c r="I23" s="452" t="s">
        <v>3303</v>
      </c>
      <c r="J23" s="455">
        <f>SUMIF(96:96,I24,97:97)-SUMIF(96:96,C24,97:97)+100</f>
        <v>100</v>
      </c>
      <c r="K23" s="673">
        <v>1</v>
      </c>
      <c r="L23" s="1140"/>
      <c r="M23" s="1131"/>
      <c r="N23" s="1131"/>
      <c r="O23" s="1139"/>
      <c r="P23" s="3192"/>
      <c r="Q23" s="1809" t="str">
        <f t="shared" ref="Q23:Q37" si="8">B23</f>
        <v>区域土地利用方向</v>
      </c>
      <c r="R23" s="774" t="s">
        <v>17</v>
      </c>
      <c r="S23" s="775">
        <f>F23</f>
        <v>100</v>
      </c>
      <c r="T23" s="774" t="s">
        <v>17</v>
      </c>
      <c r="U23" s="775">
        <f>H23</f>
        <v>100</v>
      </c>
      <c r="V23" s="774" t="s">
        <v>17</v>
      </c>
      <c r="W23" s="775">
        <f>J23</f>
        <v>100</v>
      </c>
      <c r="X23" s="1812"/>
      <c r="Y23" s="3192"/>
      <c r="Z23" s="1813" t="str">
        <f>Q23</f>
        <v>区域土地利用方向</v>
      </c>
      <c r="AA23" s="1810">
        <f t="shared" si="3"/>
        <v>1</v>
      </c>
      <c r="AB23" s="1810">
        <f t="shared" si="4"/>
        <v>1</v>
      </c>
      <c r="AC23" s="1810">
        <f t="shared" si="5"/>
        <v>1</v>
      </c>
    </row>
    <row r="24" spans="1:29" ht="15">
      <c r="A24" s="404"/>
      <c r="B24" s="456"/>
      <c r="C24" s="616" t="s">
        <v>3282</v>
      </c>
      <c r="D24" s="448"/>
      <c r="E24" s="2604" t="s">
        <v>3282</v>
      </c>
      <c r="F24" s="448"/>
      <c r="G24" s="2604" t="s">
        <v>3282</v>
      </c>
      <c r="H24" s="448"/>
      <c r="I24" s="2604" t="s">
        <v>3282</v>
      </c>
      <c r="J24" s="448"/>
      <c r="K24" s="809"/>
      <c r="L24" s="1140"/>
      <c r="M24" s="1131"/>
      <c r="N24" s="1131"/>
      <c r="O24" s="1139"/>
      <c r="P24" s="3192"/>
      <c r="Q24" s="1809"/>
      <c r="R24" s="774"/>
      <c r="S24" s="775"/>
      <c r="T24" s="774"/>
      <c r="U24" s="775"/>
      <c r="V24" s="774"/>
      <c r="W24" s="775"/>
      <c r="X24" s="1812"/>
      <c r="Y24" s="3192"/>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3300</v>
      </c>
      <c r="F25" s="450">
        <f>SUMIF(98:98,E26,99:99)-SUMIF(98:98,C26,99:99)+100</f>
        <v>100</v>
      </c>
      <c r="G25" s="452" t="s">
        <v>3300</v>
      </c>
      <c r="H25" s="450">
        <f>SUMIF(98:98,G26,99:99)-SUMIF(98:98,C26,99:99)+100</f>
        <v>100</v>
      </c>
      <c r="I25" s="452" t="s">
        <v>3300</v>
      </c>
      <c r="J25" s="450">
        <f>SUMIF(98:98,I26,99:99)-SUMIF(98:98,C26,99:99)+100</f>
        <v>100</v>
      </c>
      <c r="K25" s="673">
        <v>1</v>
      </c>
      <c r="L25" s="1140"/>
      <c r="M25" s="1131"/>
      <c r="N25" s="1131"/>
      <c r="O25" s="1139"/>
      <c r="P25" s="3192"/>
      <c r="Q25" s="1809" t="str">
        <f t="shared" si="8"/>
        <v>自然及人文环境状况</v>
      </c>
      <c r="R25" s="774" t="s">
        <v>17</v>
      </c>
      <c r="S25" s="775">
        <f>F25</f>
        <v>100</v>
      </c>
      <c r="T25" s="774" t="s">
        <v>17</v>
      </c>
      <c r="U25" s="775">
        <f>H25</f>
        <v>100</v>
      </c>
      <c r="V25" s="774" t="s">
        <v>17</v>
      </c>
      <c r="W25" s="775">
        <f>J25</f>
        <v>100</v>
      </c>
      <c r="X25" s="1812"/>
      <c r="Y25" s="3192"/>
      <c r="Z25" s="1813" t="str">
        <f>Q25</f>
        <v>自然及人文环境状况</v>
      </c>
      <c r="AA25" s="1810">
        <f t="shared" si="3"/>
        <v>1</v>
      </c>
      <c r="AB25" s="1810">
        <f t="shared" si="4"/>
        <v>1</v>
      </c>
      <c r="AC25" s="1810">
        <f t="shared" si="5"/>
        <v>1</v>
      </c>
    </row>
    <row r="26" spans="1:29" ht="15">
      <c r="A26" s="404"/>
      <c r="B26" s="456"/>
      <c r="C26" s="447" t="s">
        <v>3282</v>
      </c>
      <c r="D26" s="448"/>
      <c r="E26" s="2610" t="s">
        <v>3282</v>
      </c>
      <c r="F26" s="448"/>
      <c r="G26" s="2610" t="s">
        <v>3282</v>
      </c>
      <c r="H26" s="448"/>
      <c r="I26" s="2610" t="s">
        <v>3282</v>
      </c>
      <c r="J26" s="448"/>
      <c r="K26" s="672"/>
      <c r="L26" s="1140"/>
      <c r="M26" s="1131"/>
      <c r="N26" s="1131"/>
      <c r="O26" s="1139"/>
      <c r="P26" s="3192"/>
      <c r="Q26" s="1809"/>
      <c r="R26" s="774"/>
      <c r="S26" s="775"/>
      <c r="T26" s="774"/>
      <c r="U26" s="775"/>
      <c r="V26" s="774"/>
      <c r="W26" s="775"/>
      <c r="X26" s="1812"/>
      <c r="Y26" s="3192"/>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3296</v>
      </c>
      <c r="F27" s="450">
        <f>SUMIF(100:100,E28,101:101)-SUMIF(100:100,C28,101:101)+100</f>
        <v>100</v>
      </c>
      <c r="G27" s="452" t="s">
        <v>3296</v>
      </c>
      <c r="H27" s="450">
        <f>SUMIF(100:100,G28,101:101)-SUMIF(100:100,C28,101:101)+100</f>
        <v>100</v>
      </c>
      <c r="I27" s="2962" t="s">
        <v>3296</v>
      </c>
      <c r="J27" s="450">
        <f>SUMIF(100:100,I28,101:101)-SUMIF(100:100,C28,101:101)+100</f>
        <v>100</v>
      </c>
      <c r="K27" s="673">
        <v>4</v>
      </c>
      <c r="L27" s="1132"/>
      <c r="M27" s="1133"/>
      <c r="N27" s="1133"/>
      <c r="O27" s="1134"/>
      <c r="P27" s="3192"/>
      <c r="Q27" s="1794" t="str">
        <f t="shared" si="8"/>
        <v>公共配套设施</v>
      </c>
      <c r="R27" s="770" t="s">
        <v>17</v>
      </c>
      <c r="S27" s="771">
        <f>F27</f>
        <v>100</v>
      </c>
      <c r="T27" s="770" t="s">
        <v>17</v>
      </c>
      <c r="U27" s="771">
        <f>H27</f>
        <v>100</v>
      </c>
      <c r="V27" s="770" t="s">
        <v>17</v>
      </c>
      <c r="W27" s="771">
        <f>J27</f>
        <v>100</v>
      </c>
      <c r="X27" s="772"/>
      <c r="Y27" s="3192"/>
      <c r="Z27" s="55" t="str">
        <f>Q27</f>
        <v>公共配套设施</v>
      </c>
      <c r="AA27" s="1810">
        <f>D27/F27</f>
        <v>1</v>
      </c>
      <c r="AB27" s="1810">
        <f>D27/H27</f>
        <v>1</v>
      </c>
      <c r="AC27" s="1810">
        <f>D27/J27</f>
        <v>1</v>
      </c>
    </row>
    <row r="28" spans="1:29" s="117" customFormat="1" ht="15">
      <c r="A28" s="649"/>
      <c r="B28" s="456"/>
      <c r="C28" s="2699" t="s">
        <v>3306</v>
      </c>
      <c r="D28" s="448"/>
      <c r="E28" s="2610" t="s">
        <v>3306</v>
      </c>
      <c r="F28" s="448"/>
      <c r="G28" s="2610" t="s">
        <v>3306</v>
      </c>
      <c r="H28" s="448"/>
      <c r="I28" s="2610" t="s">
        <v>3306</v>
      </c>
      <c r="J28" s="448"/>
      <c r="K28" s="672"/>
      <c r="L28" s="1132"/>
      <c r="M28" s="1133"/>
      <c r="N28" s="1133"/>
      <c r="O28" s="1134"/>
      <c r="P28" s="3192"/>
      <c r="Q28" s="1794"/>
      <c r="R28" s="770"/>
      <c r="S28" s="771"/>
      <c r="T28" s="770"/>
      <c r="U28" s="771"/>
      <c r="V28" s="770"/>
      <c r="W28" s="771"/>
      <c r="X28" s="772"/>
      <c r="Y28" s="3192"/>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3298</v>
      </c>
      <c r="F29" s="450">
        <f>SUMIF(102:102,E30,103:103)-SUMIF(102:102,C30,103:103)+100</f>
        <v>100</v>
      </c>
      <c r="G29" s="452" t="s">
        <v>3298</v>
      </c>
      <c r="H29" s="450">
        <f>SUMIF(102:102,G30,103:103)-SUMIF(102:102,C30,103:103)+100</f>
        <v>100</v>
      </c>
      <c r="I29" s="452" t="s">
        <v>3298</v>
      </c>
      <c r="J29" s="450">
        <f>SUMIF(102:102,I30,103:103)-SUMIF(102:102,C30,103:103)+100</f>
        <v>100</v>
      </c>
      <c r="K29" s="673">
        <v>1</v>
      </c>
      <c r="L29" s="1132"/>
      <c r="M29" s="1133"/>
      <c r="N29" s="1133"/>
      <c r="O29" s="1134"/>
      <c r="P29" s="3192"/>
      <c r="Q29" s="1794"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0">
        <f>D29/F29</f>
        <v>1</v>
      </c>
      <c r="AB29" s="1810">
        <f>D29/H29</f>
        <v>1</v>
      </c>
      <c r="AC29" s="1810">
        <f>D29/J29</f>
        <v>1</v>
      </c>
    </row>
    <row r="30" spans="1:29" s="117" customFormat="1" ht="15">
      <c r="A30" s="649"/>
      <c r="B30" s="456"/>
      <c r="C30" s="2699" t="s">
        <v>3285</v>
      </c>
      <c r="D30" s="448"/>
      <c r="E30" s="2700" t="s">
        <v>3285</v>
      </c>
      <c r="F30" s="448"/>
      <c r="G30" s="2700" t="s">
        <v>3285</v>
      </c>
      <c r="H30" s="448"/>
      <c r="I30" s="2700" t="s">
        <v>3285</v>
      </c>
      <c r="J30" s="448"/>
      <c r="K30" s="672"/>
      <c r="L30" s="1132"/>
      <c r="M30" s="1133"/>
      <c r="N30" s="1133"/>
      <c r="O30" s="1134"/>
      <c r="P30" s="3192"/>
      <c r="Q30" s="1794"/>
      <c r="R30" s="770"/>
      <c r="S30" s="771"/>
      <c r="T30" s="770"/>
      <c r="U30" s="771"/>
      <c r="V30" s="770"/>
      <c r="W30" s="771"/>
      <c r="X30" s="772"/>
      <c r="Y30" s="3192"/>
      <c r="Z30" s="55"/>
      <c r="AA30" s="1810">
        <v>1</v>
      </c>
      <c r="AB30" s="1810">
        <v>1</v>
      </c>
      <c r="AC30" s="1810">
        <v>1</v>
      </c>
    </row>
    <row r="31" spans="1:29" ht="15">
      <c r="A31" s="428"/>
      <c r="B31" s="456" t="s">
        <v>2605</v>
      </c>
      <c r="C31" s="616" t="s">
        <v>3305</v>
      </c>
      <c r="D31" s="435">
        <v>100</v>
      </c>
      <c r="E31" s="634" t="s">
        <v>3305</v>
      </c>
      <c r="F31" s="435">
        <f>SUMIF(104:104,E31,105:105)-SUMIF(104:104,C31,105:105)+100</f>
        <v>100</v>
      </c>
      <c r="G31" s="634" t="s">
        <v>3305</v>
      </c>
      <c r="H31" s="435">
        <f>SUMIF(104:104,G31,105:105)-SUMIF(104:104,C31,105:105)+100</f>
        <v>100</v>
      </c>
      <c r="I31" s="634" t="s">
        <v>3305</v>
      </c>
      <c r="J31" s="435">
        <f>SUMIF(104:104,I31,105:105)-SUMIF(104:104,C31,105:105)+100</f>
        <v>100</v>
      </c>
      <c r="K31" s="673">
        <v>1</v>
      </c>
      <c r="L31" s="1140"/>
      <c r="M31" s="1131"/>
      <c r="N31" s="1131"/>
      <c r="O31" s="1139"/>
      <c r="P31" s="319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2"/>
      <c r="Z31" s="1813" t="str">
        <f t="shared" ref="Z31:Z45" si="13">Q31</f>
        <v>临街状况</v>
      </c>
      <c r="AA31" s="1810">
        <f t="shared" si="3"/>
        <v>1</v>
      </c>
      <c r="AB31" s="1810">
        <f t="shared" si="4"/>
        <v>1</v>
      </c>
      <c r="AC31" s="1810">
        <f t="shared" si="5"/>
        <v>1</v>
      </c>
    </row>
    <row r="32" spans="1:29" ht="27">
      <c r="A32" s="428"/>
      <c r="B32" s="1384" t="s">
        <v>2640</v>
      </c>
      <c r="C32" s="2961" t="s">
        <v>3307</v>
      </c>
      <c r="D32" s="450">
        <v>100</v>
      </c>
      <c r="E32" s="2961" t="s">
        <v>3307</v>
      </c>
      <c r="F32" s="450">
        <f>SUMIF(106:106,E33,107:107)-SUMIF(106:106,C33,107:107)+100</f>
        <v>100</v>
      </c>
      <c r="G32" s="2961" t="s">
        <v>3307</v>
      </c>
      <c r="H32" s="450">
        <f>SUMIF(106:106,G33,107:107)-SUMIF(106:106,C33,107:107)+100</f>
        <v>100</v>
      </c>
      <c r="I32" s="2961" t="s">
        <v>3355</v>
      </c>
      <c r="J32" s="450">
        <f>SUMIF(106:106,I33,107:107)-SUMIF(106:106,C33,107:107)+100</f>
        <v>100</v>
      </c>
      <c r="K32" s="673">
        <v>1</v>
      </c>
      <c r="L32" s="1140"/>
      <c r="M32" s="1131"/>
      <c r="N32" s="1131"/>
      <c r="O32" s="1139"/>
      <c r="P32" s="3192"/>
      <c r="Q32" s="1809" t="str">
        <f t="shared" si="8"/>
        <v>毗邻道路的类型与等级</v>
      </c>
      <c r="R32" s="774" t="s">
        <v>17</v>
      </c>
      <c r="S32" s="775">
        <f t="shared" si="10"/>
        <v>100</v>
      </c>
      <c r="T32" s="774" t="s">
        <v>17</v>
      </c>
      <c r="U32" s="775">
        <f t="shared" si="11"/>
        <v>100</v>
      </c>
      <c r="V32" s="774" t="s">
        <v>17</v>
      </c>
      <c r="W32" s="775">
        <f t="shared" si="12"/>
        <v>100</v>
      </c>
      <c r="X32" s="1812"/>
      <c r="Y32" s="3192"/>
      <c r="Z32" s="1813" t="str">
        <f t="shared" si="13"/>
        <v>毗邻道路的类型与等级</v>
      </c>
      <c r="AA32" s="1810">
        <f t="shared" si="3"/>
        <v>1</v>
      </c>
      <c r="AB32" s="1810">
        <f t="shared" si="4"/>
        <v>1</v>
      </c>
      <c r="AC32" s="1810">
        <f t="shared" si="5"/>
        <v>1</v>
      </c>
    </row>
    <row r="33" spans="1:29" ht="15">
      <c r="A33" s="428"/>
      <c r="B33" s="456"/>
      <c r="C33" s="447" t="s">
        <v>3277</v>
      </c>
      <c r="D33" s="448"/>
      <c r="E33" s="447" t="s">
        <v>3277</v>
      </c>
      <c r="F33" s="448"/>
      <c r="G33" s="447" t="s">
        <v>3277</v>
      </c>
      <c r="H33" s="448"/>
      <c r="I33" s="447" t="s">
        <v>3277</v>
      </c>
      <c r="J33" s="448"/>
      <c r="K33" s="613"/>
      <c r="L33" s="1140"/>
      <c r="M33" s="1131"/>
      <c r="N33" s="1131"/>
      <c r="O33" s="1139"/>
      <c r="P33" s="3192"/>
      <c r="Q33" s="1809"/>
      <c r="R33" s="774"/>
      <c r="S33" s="775"/>
      <c r="T33" s="774"/>
      <c r="U33" s="775"/>
      <c r="V33" s="774"/>
      <c r="W33" s="775"/>
      <c r="X33" s="1812"/>
      <c r="Y33" s="3192"/>
      <c r="Z33" s="1813"/>
      <c r="AA33" s="1810">
        <v>1</v>
      </c>
      <c r="AB33" s="1810">
        <v>1</v>
      </c>
      <c r="AC33" s="1810">
        <v>1</v>
      </c>
    </row>
    <row r="34" spans="1:29" ht="15">
      <c r="A34" s="428"/>
      <c r="B34" s="422" t="s">
        <v>2698</v>
      </c>
      <c r="C34" s="616" t="s">
        <v>3279</v>
      </c>
      <c r="D34" s="435">
        <v>100</v>
      </c>
      <c r="E34" s="634" t="s">
        <v>3279</v>
      </c>
      <c r="F34" s="435">
        <f>SUMIF(108:108,E34,109:109)-SUMIF(108:108,C34,109:109)+100</f>
        <v>100</v>
      </c>
      <c r="G34" s="616" t="s">
        <v>3279</v>
      </c>
      <c r="H34" s="435">
        <f>SUMIF(108:108,G34,109:109)-SUMIF(108:108,C34,109:109)+100</f>
        <v>100</v>
      </c>
      <c r="I34" s="616" t="s">
        <v>3279</v>
      </c>
      <c r="J34" s="435">
        <f>SUMIF(108:108,I34,109:109)-SUMIF(108:108,C34,109:109)+100</f>
        <v>100</v>
      </c>
      <c r="K34" s="612">
        <v>1</v>
      </c>
      <c r="L34" s="1140"/>
      <c r="M34" s="1131"/>
      <c r="N34" s="1131"/>
      <c r="O34" s="1139"/>
      <c r="P34" s="3192"/>
      <c r="Q34" s="1809" t="str">
        <f t="shared" si="8"/>
        <v>土地级别</v>
      </c>
      <c r="R34" s="774" t="s">
        <v>17</v>
      </c>
      <c r="S34" s="775">
        <f t="shared" si="10"/>
        <v>100</v>
      </c>
      <c r="T34" s="774" t="s">
        <v>17</v>
      </c>
      <c r="U34" s="775">
        <f t="shared" si="11"/>
        <v>100</v>
      </c>
      <c r="V34" s="774" t="s">
        <v>17</v>
      </c>
      <c r="W34" s="775">
        <f t="shared" si="12"/>
        <v>100</v>
      </c>
      <c r="X34" s="1812"/>
      <c r="Y34" s="3192"/>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09">
        <f t="shared" si="8"/>
        <v>0</v>
      </c>
      <c r="R35" s="774" t="s">
        <v>17</v>
      </c>
      <c r="S35" s="775">
        <f t="shared" si="10"/>
        <v>100</v>
      </c>
      <c r="T35" s="774" t="s">
        <v>17</v>
      </c>
      <c r="U35" s="775">
        <f t="shared" si="11"/>
        <v>100</v>
      </c>
      <c r="V35" s="774" t="s">
        <v>17</v>
      </c>
      <c r="W35" s="775">
        <f t="shared" si="12"/>
        <v>100</v>
      </c>
      <c r="X35" s="1812"/>
      <c r="Y35" s="3192"/>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3" t="s">
        <v>2515</v>
      </c>
      <c r="Q36" s="1809">
        <f t="shared" si="8"/>
        <v>0</v>
      </c>
      <c r="R36" s="774" t="s">
        <v>17</v>
      </c>
      <c r="S36" s="775">
        <f t="shared" si="10"/>
        <v>100</v>
      </c>
      <c r="T36" s="774" t="s">
        <v>17</v>
      </c>
      <c r="U36" s="775">
        <f t="shared" si="11"/>
        <v>100</v>
      </c>
      <c r="V36" s="774" t="s">
        <v>17</v>
      </c>
      <c r="W36" s="775">
        <f t="shared" si="12"/>
        <v>100</v>
      </c>
      <c r="X36" s="1812"/>
      <c r="Y36" s="3194"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4"/>
      <c r="Q37" s="1809">
        <f t="shared" si="8"/>
        <v>0</v>
      </c>
      <c r="R37" s="777" t="s">
        <v>17</v>
      </c>
      <c r="S37" s="778">
        <f t="shared" si="10"/>
        <v>100</v>
      </c>
      <c r="T37" s="777" t="s">
        <v>17</v>
      </c>
      <c r="U37" s="778">
        <f t="shared" si="11"/>
        <v>100</v>
      </c>
      <c r="V37" s="777" t="s">
        <v>17</v>
      </c>
      <c r="W37" s="778">
        <f t="shared" si="12"/>
        <v>100</v>
      </c>
      <c r="X37" s="779"/>
      <c r="Y37" s="3194"/>
      <c r="Z37" s="780">
        <f t="shared" si="13"/>
        <v>0</v>
      </c>
      <c r="AA37" s="1810">
        <f t="shared" si="3"/>
        <v>1</v>
      </c>
      <c r="AB37" s="1810">
        <f t="shared" si="4"/>
        <v>1</v>
      </c>
      <c r="AC37" s="1810">
        <f t="shared" si="5"/>
        <v>1</v>
      </c>
    </row>
    <row r="38" spans="1:29" ht="15">
      <c r="A38" s="472" t="s">
        <v>2513</v>
      </c>
      <c r="B38" s="456" t="s">
        <v>2699</v>
      </c>
      <c r="C38" s="679">
        <f>'数据-基础表'!A3</f>
        <v>10229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94"/>
      <c r="Q38" s="1809" t="str">
        <f>B38</f>
        <v>宗地面积</v>
      </c>
      <c r="R38" s="774" t="s">
        <v>17</v>
      </c>
      <c r="S38" s="775">
        <f t="shared" si="10"/>
        <v>101</v>
      </c>
      <c r="T38" s="774" t="s">
        <v>17</v>
      </c>
      <c r="U38" s="775">
        <f t="shared" si="11"/>
        <v>101</v>
      </c>
      <c r="V38" s="774" t="s">
        <v>17</v>
      </c>
      <c r="W38" s="775">
        <f t="shared" si="12"/>
        <v>100</v>
      </c>
      <c r="X38" s="1812"/>
      <c r="Y38" s="3194"/>
      <c r="Z38" s="1813" t="str">
        <f t="shared" si="13"/>
        <v>宗地面积</v>
      </c>
      <c r="AA38" s="1810">
        <f t="shared" si="3"/>
        <v>0.99009900990099009</v>
      </c>
      <c r="AB38" s="1810">
        <f t="shared" si="4"/>
        <v>0.99009900990099009</v>
      </c>
      <c r="AC38" s="1810">
        <f t="shared" si="5"/>
        <v>1</v>
      </c>
    </row>
    <row r="39" spans="1:29" ht="15">
      <c r="A39" s="472"/>
      <c r="B39" s="422" t="s">
        <v>2700</v>
      </c>
      <c r="C39" s="2612" t="s">
        <v>3280</v>
      </c>
      <c r="D39" s="435">
        <v>100</v>
      </c>
      <c r="E39" s="2612" t="s">
        <v>3280</v>
      </c>
      <c r="F39" s="435">
        <f>SUMIF(119:119,E39,120:120)-SUMIF(119:119,C39,120:120)+100</f>
        <v>100</v>
      </c>
      <c r="G39" s="2612" t="s">
        <v>3280</v>
      </c>
      <c r="H39" s="435">
        <f>SUMIF(119:119,G39,120:120)-SUMIF(119:119,C39,120:120)+100</f>
        <v>100</v>
      </c>
      <c r="I39" s="2612" t="s">
        <v>3280</v>
      </c>
      <c r="J39" s="435">
        <f>SUMIF(119:119,I39,120:120)-SUMIF(119:119,C39,120:120)+100</f>
        <v>100</v>
      </c>
      <c r="K39" s="612">
        <v>1</v>
      </c>
      <c r="L39" s="1140"/>
      <c r="M39" s="1131"/>
      <c r="N39" s="1131"/>
      <c r="O39" s="1139"/>
      <c r="P39" s="3194"/>
      <c r="Q39" s="1809" t="str">
        <f t="shared" ref="Q39:Q45" si="14">B39</f>
        <v>宗地形状</v>
      </c>
      <c r="R39" s="774" t="s">
        <v>17</v>
      </c>
      <c r="S39" s="775">
        <f t="shared" si="10"/>
        <v>100</v>
      </c>
      <c r="T39" s="774" t="s">
        <v>17</v>
      </c>
      <c r="U39" s="775">
        <f t="shared" si="11"/>
        <v>100</v>
      </c>
      <c r="V39" s="774" t="s">
        <v>17</v>
      </c>
      <c r="W39" s="775">
        <f t="shared" si="12"/>
        <v>100</v>
      </c>
      <c r="X39" s="1812"/>
      <c r="Y39" s="3194"/>
      <c r="Z39" s="1813" t="str">
        <f t="shared" si="13"/>
        <v>宗地形状</v>
      </c>
      <c r="AA39" s="1810">
        <f t="shared" si="3"/>
        <v>1</v>
      </c>
      <c r="AB39" s="1810">
        <f t="shared" si="4"/>
        <v>1</v>
      </c>
      <c r="AC39" s="1810">
        <f t="shared" si="5"/>
        <v>1</v>
      </c>
    </row>
    <row r="40" spans="1:29" ht="15">
      <c r="A40" s="472"/>
      <c r="B40" s="422" t="s">
        <v>2701</v>
      </c>
      <c r="C40" s="2612" t="s">
        <v>3282</v>
      </c>
      <c r="D40" s="435">
        <v>100</v>
      </c>
      <c r="E40" s="2612" t="s">
        <v>3282</v>
      </c>
      <c r="F40" s="435">
        <f>SUMIF(121:121,E40,122:122)-SUMIF(121:121,C40,122:122)+100</f>
        <v>100</v>
      </c>
      <c r="G40" s="2612" t="s">
        <v>3282</v>
      </c>
      <c r="H40" s="435">
        <f>SUMIF(121:121,G40,122:122)-SUMIF(121:121,C40,122:122)+100</f>
        <v>100</v>
      </c>
      <c r="I40" s="2612" t="s">
        <v>3282</v>
      </c>
      <c r="J40" s="435">
        <f>SUMIF(121:121,I40,122:122)-SUMIF(121:121,C40,122:122)+100</f>
        <v>100</v>
      </c>
      <c r="K40" s="612">
        <v>1</v>
      </c>
      <c r="L40" s="1140"/>
      <c r="M40" s="1131"/>
      <c r="N40" s="1131"/>
      <c r="O40" s="1139"/>
      <c r="P40" s="3194"/>
      <c r="Q40" s="1809" t="str">
        <f t="shared" si="14"/>
        <v>临街宽度及深度</v>
      </c>
      <c r="R40" s="774" t="s">
        <v>17</v>
      </c>
      <c r="S40" s="775">
        <f t="shared" si="10"/>
        <v>100</v>
      </c>
      <c r="T40" s="774" t="s">
        <v>17</v>
      </c>
      <c r="U40" s="775">
        <f t="shared" si="11"/>
        <v>100</v>
      </c>
      <c r="V40" s="774" t="s">
        <v>17</v>
      </c>
      <c r="W40" s="775">
        <f t="shared" si="12"/>
        <v>100</v>
      </c>
      <c r="X40" s="1812"/>
      <c r="Y40" s="3194"/>
      <c r="Z40" s="1813" t="str">
        <f t="shared" si="13"/>
        <v>临街宽度及深度</v>
      </c>
      <c r="AA40" s="1810">
        <f t="shared" si="3"/>
        <v>1</v>
      </c>
      <c r="AB40" s="1810">
        <f t="shared" si="4"/>
        <v>1</v>
      </c>
      <c r="AC40" s="1810">
        <f t="shared" si="5"/>
        <v>1</v>
      </c>
    </row>
    <row r="41" spans="1:29" s="117" customFormat="1" ht="15">
      <c r="A41" s="473"/>
      <c r="B41" s="422" t="s">
        <v>2702</v>
      </c>
      <c r="C41" s="2701" t="s">
        <v>3285</v>
      </c>
      <c r="D41" s="136">
        <v>100</v>
      </c>
      <c r="E41" s="2701" t="s">
        <v>3285</v>
      </c>
      <c r="F41" s="435">
        <f>SUMIF(123:123,E41,124:124)-SUMIF(123:123,C41,124:124)+100</f>
        <v>100</v>
      </c>
      <c r="G41" s="2701" t="s">
        <v>3285</v>
      </c>
      <c r="H41" s="435">
        <f>SUMIF(123:123,G41,124:124)-SUMIF(123:123,C41,124:124)+100</f>
        <v>100</v>
      </c>
      <c r="I41" s="2701" t="s">
        <v>3285</v>
      </c>
      <c r="J41" s="435">
        <f>SUMIF(123:123,I41,124:124)-SUMIF(123:123,C41,124:124)+100</f>
        <v>100</v>
      </c>
      <c r="K41" s="612">
        <v>1</v>
      </c>
      <c r="L41" s="1132"/>
      <c r="M41" s="1133"/>
      <c r="N41" s="1133"/>
      <c r="O41" s="1134"/>
      <c r="P41" s="3194"/>
      <c r="Q41" s="1809"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2703</v>
      </c>
      <c r="C42" s="2612" t="s">
        <v>3282</v>
      </c>
      <c r="D42" s="435">
        <v>100</v>
      </c>
      <c r="E42" s="2612" t="s">
        <v>3282</v>
      </c>
      <c r="F42" s="435">
        <f>SUMIF(125:125,E42,126:126)-SUMIF(125:125,C42,126:126)+100</f>
        <v>100</v>
      </c>
      <c r="G42" s="2612" t="s">
        <v>3282</v>
      </c>
      <c r="H42" s="435">
        <f>SUMIF(125:125,G42,126:126)-SUMIF(125:125,C42,126:126)+100</f>
        <v>100</v>
      </c>
      <c r="I42" s="2612" t="s">
        <v>3282</v>
      </c>
      <c r="J42" s="435">
        <f>SUMIF(125:125,I42,126:126)-SUMIF(125:125,C42,126:126)+100</f>
        <v>100</v>
      </c>
      <c r="K42" s="612">
        <v>1</v>
      </c>
      <c r="L42" s="1140"/>
      <c r="M42" s="1131"/>
      <c r="N42" s="1131"/>
      <c r="O42" s="1139"/>
      <c r="P42" s="3194" t="s">
        <v>2515</v>
      </c>
      <c r="Q42" s="1809" t="str">
        <f t="shared" si="14"/>
        <v>工程地质条件</v>
      </c>
      <c r="R42" s="774" t="s">
        <v>17</v>
      </c>
      <c r="S42" s="775">
        <f t="shared" si="10"/>
        <v>100</v>
      </c>
      <c r="T42" s="774" t="s">
        <v>17</v>
      </c>
      <c r="U42" s="775">
        <f t="shared" si="11"/>
        <v>100</v>
      </c>
      <c r="V42" s="774" t="s">
        <v>17</v>
      </c>
      <c r="W42" s="775">
        <f t="shared" si="12"/>
        <v>100</v>
      </c>
      <c r="X42" s="1812"/>
      <c r="Y42" s="3194"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4"/>
      <c r="Q43" s="1809">
        <f t="shared" si="14"/>
        <v>0</v>
      </c>
      <c r="R43" s="774" t="s">
        <v>17</v>
      </c>
      <c r="S43" s="775">
        <f t="shared" si="10"/>
        <v>100</v>
      </c>
      <c r="T43" s="774" t="s">
        <v>17</v>
      </c>
      <c r="U43" s="775">
        <f t="shared" si="11"/>
        <v>100</v>
      </c>
      <c r="V43" s="774" t="s">
        <v>17</v>
      </c>
      <c r="W43" s="775">
        <f t="shared" si="12"/>
        <v>100</v>
      </c>
      <c r="X43" s="1812"/>
      <c r="Y43" s="3194"/>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4"/>
      <c r="Q44" s="1809">
        <f t="shared" si="14"/>
        <v>0</v>
      </c>
      <c r="R44" s="774" t="s">
        <v>17</v>
      </c>
      <c r="S44" s="775">
        <f t="shared" si="10"/>
        <v>100</v>
      </c>
      <c r="T44" s="774" t="s">
        <v>17</v>
      </c>
      <c r="U44" s="775">
        <f t="shared" si="11"/>
        <v>100</v>
      </c>
      <c r="V44" s="774" t="s">
        <v>17</v>
      </c>
      <c r="W44" s="775">
        <f t="shared" si="12"/>
        <v>100</v>
      </c>
      <c r="X44" s="1812"/>
      <c r="Y44" s="3194"/>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4"/>
      <c r="Q45" s="1809">
        <f t="shared" si="14"/>
        <v>0</v>
      </c>
      <c r="R45" s="777" t="s">
        <v>17</v>
      </c>
      <c r="S45" s="778">
        <f t="shared" si="10"/>
        <v>100</v>
      </c>
      <c r="T45" s="777" t="s">
        <v>17</v>
      </c>
      <c r="U45" s="778">
        <f t="shared" si="11"/>
        <v>100</v>
      </c>
      <c r="V45" s="777" t="s">
        <v>17</v>
      </c>
      <c r="W45" s="778">
        <f t="shared" si="12"/>
        <v>100</v>
      </c>
      <c r="X45" s="779"/>
      <c r="Y45" s="3194"/>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9" t="str">
        <f>A46</f>
        <v>成交单价</v>
      </c>
      <c r="Q46" s="3189"/>
      <c r="R46" s="3195">
        <f>E46</f>
        <v>1778</v>
      </c>
      <c r="S46" s="3195"/>
      <c r="T46" s="3195">
        <f>G46</f>
        <v>1773</v>
      </c>
      <c r="U46" s="3195"/>
      <c r="V46" s="3195">
        <f>I46</f>
        <v>2178</v>
      </c>
      <c r="W46" s="3195"/>
      <c r="X46" s="759"/>
      <c r="Y46" s="781"/>
      <c r="Z46" s="759"/>
      <c r="AA46" s="759"/>
      <c r="AB46" s="759"/>
      <c r="AC46" s="759"/>
    </row>
    <row r="47" spans="1:29" ht="15.75" thickBot="1">
      <c r="A47" s="486" t="s">
        <v>2618</v>
      </c>
      <c r="B47" s="683"/>
      <c r="C47" s="490">
        <f>R48</f>
        <v>2611</v>
      </c>
      <c r="D47" s="489"/>
      <c r="E47" s="490">
        <f>R47</f>
        <v>2483</v>
      </c>
      <c r="F47" s="491"/>
      <c r="G47" s="488">
        <f>T47</f>
        <v>2476</v>
      </c>
      <c r="H47" s="489"/>
      <c r="I47" s="490">
        <f>V47</f>
        <v>2873</v>
      </c>
      <c r="J47" s="489"/>
      <c r="K47" s="784"/>
      <c r="L47" s="1143"/>
      <c r="M47" s="1144"/>
      <c r="N47" s="1144"/>
      <c r="O47" s="1144"/>
      <c r="P47" s="3189" t="str">
        <f>A47</f>
        <v>比较价值（元/平方米）</v>
      </c>
      <c r="Q47" s="3189"/>
      <c r="R47" s="3182">
        <f>ROUND(PRODUCT(R46,AA7:AA45),0)</f>
        <v>2483</v>
      </c>
      <c r="S47" s="3182"/>
      <c r="T47" s="3182">
        <f>ROUND(PRODUCT(T46,AB7:AB45),0)</f>
        <v>2476</v>
      </c>
      <c r="U47" s="3182"/>
      <c r="V47" s="3182">
        <f>ROUND(PRODUCT(V46,AC7:AC45),0)</f>
        <v>2873</v>
      </c>
      <c r="W47" s="3182"/>
      <c r="X47" s="759"/>
      <c r="Y47" s="759"/>
      <c r="Z47" s="759"/>
      <c r="AA47" s="759"/>
      <c r="AB47" s="759"/>
      <c r="AC47" s="759"/>
    </row>
    <row r="48" spans="1:29" ht="15.75" thickBot="1">
      <c r="A48" s="492" t="s">
        <v>3274</v>
      </c>
      <c r="B48" s="493"/>
      <c r="C48" s="494">
        <f>R48</f>
        <v>2611</v>
      </c>
      <c r="D48" s="494"/>
      <c r="E48" s="494"/>
      <c r="F48" s="494"/>
      <c r="G48" s="494"/>
      <c r="H48" s="494"/>
      <c r="I48" s="494"/>
      <c r="J48" s="494"/>
      <c r="K48" s="785"/>
      <c r="L48" s="1143"/>
      <c r="M48" s="1144"/>
      <c r="N48" s="1144"/>
      <c r="O48" s="1144"/>
      <c r="P48" s="3183" t="str">
        <f>A48</f>
        <v>估价对象地上用房的比较价值（楼面单价，元/平方米）</v>
      </c>
      <c r="Q48" s="3184"/>
      <c r="R48" s="3185">
        <f>ROUND(AVERAGE(R47:V47),0)</f>
        <v>2611</v>
      </c>
      <c r="S48" s="3185"/>
      <c r="T48" s="3185"/>
      <c r="U48" s="3185"/>
      <c r="V48" s="3185"/>
      <c r="W48" s="318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0.39651293588301462</v>
      </c>
      <c r="F51" s="500" t="str">
        <f>IF(OR(E51&gt;=0.3,E51&lt;=-0.3),"超过30%","")</f>
        <v>超过30%</v>
      </c>
      <c r="G51" s="499">
        <f>IF(G46&lt;G47,G47/G46-1,G46/G47-1)</f>
        <v>0.39650310208685835</v>
      </c>
      <c r="H51" s="500" t="str">
        <f>IF(OR(G51&gt;=0.3,G51&lt;=-0.3),"超过30%","")</f>
        <v>超过30%</v>
      </c>
      <c r="I51" s="499">
        <f>IF(I46&lt;I47,I47/I46-1,I46/I47-1)</f>
        <v>0.31910009182736454</v>
      </c>
      <c r="J51" s="500" t="str">
        <f>IF(OR(I51&gt;=0.3,I51&lt;=-0.3),"超过30%","")</f>
        <v>超过30%</v>
      </c>
      <c r="K51" s="1105"/>
      <c r="L51" s="1106"/>
      <c r="M51" s="1144"/>
      <c r="N51" s="1144"/>
      <c r="O51" s="1144"/>
    </row>
    <row r="52" spans="1:15" ht="13.5" customHeight="1">
      <c r="A52" s="1144"/>
      <c r="B52" s="1144"/>
      <c r="C52" s="497" t="s">
        <v>2621</v>
      </c>
      <c r="D52" s="501"/>
      <c r="E52" s="499">
        <f>IF(E47&lt;G47,G47/E47-1,E47/G47-1)</f>
        <v>2.8271405492730217E-3</v>
      </c>
      <c r="F52" s="500" t="str">
        <f>IF(OR(E52&gt;=0.2,E52&lt;=-0.2),"超过20%","")</f>
        <v/>
      </c>
      <c r="G52" s="499">
        <f>IF(G47&lt;I47,I47/G47-1,G47/I47-1)</f>
        <v>0.16033925686591277</v>
      </c>
      <c r="H52" s="500" t="str">
        <f>IF(OR(G52&gt;=0.2,G52&lt;=-0.2),"超过20%","")</f>
        <v/>
      </c>
      <c r="I52" s="499">
        <f>IF(I47&lt;E47,E47/I47-1,I47/E47-1)</f>
        <v>0.15706806282722519</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86" t="s">
        <v>2711</v>
      </c>
      <c r="H55" s="3187"/>
      <c r="I55" s="144" t="s">
        <v>2712</v>
      </c>
      <c r="J55" s="2706" t="str">
        <f>项目基本情况!F35</f>
        <v>山东省济南市</v>
      </c>
      <c r="K55" s="2707" t="s">
        <v>2713</v>
      </c>
      <c r="L55" s="1106"/>
      <c r="M55" s="1144"/>
      <c r="N55" s="1144"/>
      <c r="O55" s="1144"/>
    </row>
    <row r="56" spans="1:15" s="692" customFormat="1">
      <c r="A56" s="688" t="s">
        <v>2714</v>
      </c>
      <c r="B56" s="689">
        <f>C48</f>
        <v>2611</v>
      </c>
      <c r="C56" s="690">
        <v>1</v>
      </c>
      <c r="D56" s="1163">
        <v>1</v>
      </c>
      <c r="E56" s="690">
        <f>'数据-汇总表'!E8+'数据-汇总表'!E9</f>
        <v>1159.21</v>
      </c>
      <c r="F56" s="1103">
        <f t="shared" ref="F56:F65" si="15">ROUND(B56*E56/10000,0)</f>
        <v>303</v>
      </c>
      <c r="G56" s="3188"/>
      <c r="H56" s="3189"/>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90"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90"/>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90"/>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90"/>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1164.32</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2323.5299999999997</v>
      </c>
      <c r="F66" s="697">
        <f>IF(B46="楼面地价",SUM(F56:F65),ROUND(C48*E66/10000,0))</f>
        <v>303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3275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3276</v>
      </c>
      <c r="D106" s="2955" t="s">
        <v>3278</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3279</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3283</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3284</v>
      </c>
      <c r="D123" s="554" t="s">
        <v>3285</v>
      </c>
      <c r="E123" s="554" t="s">
        <v>3286</v>
      </c>
      <c r="F123" s="554" t="s">
        <v>3287</v>
      </c>
      <c r="G123" s="554" t="s">
        <v>3288</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3283</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6" t="str">
        <f>项目基本情况!B1</f>
        <v>山东省济南市高新区旅游路以南、凤凰路以西A-13出让国有建设用地使用权及在建建筑物房地产抵押价值预评估</v>
      </c>
      <c r="C37" s="2996"/>
      <c r="D37" s="2996"/>
      <c r="E37" s="2996"/>
      <c r="F37" s="2996"/>
      <c r="G37" s="2996"/>
      <c r="H37" s="2996"/>
      <c r="I37" s="2996"/>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郑燚（注册号：0)、崔锴（注册号：0)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4" sqref="D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8</v>
      </c>
    </row>
    <row r="2" spans="1:9" s="244" customFormat="1" ht="18" customHeight="1">
      <c r="A2" s="245" t="s">
        <v>2280</v>
      </c>
      <c r="B2" s="246">
        <f ca="1">IF(D2="——",C52,C52-E2)</f>
        <v>2498</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10751</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1461.0519999999999</v>
      </c>
      <c r="D5" s="255" t="s">
        <v>2287</v>
      </c>
      <c r="E5" s="256" t="s">
        <v>2288</v>
      </c>
      <c r="F5" s="256" t="s">
        <v>2289</v>
      </c>
      <c r="G5" s="257"/>
    </row>
    <row r="6" spans="1:9" s="258" customFormat="1" ht="13.5" customHeight="1">
      <c r="A6" s="949" t="s">
        <v>2290</v>
      </c>
      <c r="B6" s="259" t="s">
        <v>2291</v>
      </c>
      <c r="C6" s="260">
        <f>12000*'土地比较法-住宅、综合'!E56/10000</f>
        <v>1391.0519999999999</v>
      </c>
      <c r="D6" s="261"/>
      <c r="E6" s="262"/>
      <c r="F6" s="262"/>
      <c r="G6" s="263"/>
    </row>
    <row r="7" spans="1:9" s="258" customFormat="1" ht="13.5" customHeight="1">
      <c r="A7" s="949" t="s">
        <v>2292</v>
      </c>
      <c r="B7" s="259" t="s">
        <v>2293</v>
      </c>
      <c r="C7" s="264">
        <f>ROUND(C6*F7,0)</f>
        <v>42</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28</v>
      </c>
      <c r="D8" s="266"/>
      <c r="E8" s="264"/>
      <c r="F8" s="265"/>
      <c r="G8" s="2549" t="s">
        <v>3044</v>
      </c>
    </row>
    <row r="9" spans="1:9" s="258" customFormat="1" ht="13.5" customHeight="1">
      <c r="A9" s="950" t="s">
        <v>799</v>
      </c>
      <c r="B9" s="268" t="s">
        <v>2296</v>
      </c>
      <c r="C9" s="269">
        <f ca="1">ROUND(D9*E9/10000,0)</f>
        <v>14</v>
      </c>
      <c r="D9" s="1032">
        <f ca="1">IF(B1="",'数据-汇总表'!E5,IF(INDIRECT("'数据-取费表'!c"&amp;$G$1)="住宅",INDIRECT("'数据-取费表'!k"&amp;$G$1),0))</f>
        <v>1159.21</v>
      </c>
      <c r="E9" s="269">
        <f>'数据-取费表'!B27</f>
        <v>122</v>
      </c>
      <c r="F9" s="265"/>
      <c r="G9" s="2550" t="s">
        <v>3356</v>
      </c>
      <c r="H9" s="1390"/>
      <c r="I9" s="2551" t="s">
        <v>2297</v>
      </c>
    </row>
    <row r="10" spans="1:9" s="258" customFormat="1" ht="13.5" customHeight="1">
      <c r="A10" s="950" t="s">
        <v>800</v>
      </c>
      <c r="B10" s="268" t="s">
        <v>2298</v>
      </c>
      <c r="C10" s="269">
        <f ca="1">ROUND(D10*E10/10000,0)</f>
        <v>14</v>
      </c>
      <c r="D10" s="1032">
        <f ca="1">IF(B1="",'数据-汇总表'!E6,IF(INDIRECT("'数据-取费表'!c"&amp;$G$1)="住宅",INDIRECT("'数据-取费表'!s"&amp;$G$1),INDIRECT("'数据-取费表'!k"&amp;$G$1)+INDIRECT("'数据-取费表'!s"&amp;$G$1)))</f>
        <v>1164.3199999999997</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2323.5299999999997</v>
      </c>
      <c r="E19" s="255">
        <f>'数据-取费表'!B31</f>
        <v>150</v>
      </c>
      <c r="F19" s="275"/>
      <c r="G19" s="2549" t="s">
        <v>3045</v>
      </c>
    </row>
    <row r="20" spans="1:7" s="258" customFormat="1" ht="13.5" customHeight="1">
      <c r="A20" s="299" t="s">
        <v>2311</v>
      </c>
      <c r="B20" s="254" t="s">
        <v>2312</v>
      </c>
      <c r="C20" s="276">
        <f>ROUND((C5+C19)*F20,0)</f>
        <v>15</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84</v>
      </c>
      <c r="D22" s="279">
        <f ca="1">C26</f>
        <v>2.9999999999999997E-4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84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0</v>
      </c>
      <c r="D25" s="282"/>
      <c r="E25" s="285"/>
      <c r="F25" s="283"/>
      <c r="G25" s="286" t="s">
        <v>2328</v>
      </c>
    </row>
    <row r="26" spans="1:7" s="258" customFormat="1">
      <c r="A26" s="951" t="s">
        <v>794</v>
      </c>
      <c r="B26" s="259" t="s">
        <v>2329</v>
      </c>
      <c r="C26" s="282">
        <f ca="1">ROUND(IF('数据-取费表'!B22&lt;=1,F21*F22*'数据-取费表'!B23/2,F21*(POWER((1+F22),'数据-取费表'!B23/2)-1)),4)</f>
        <v>2.9999999999999997E-4</v>
      </c>
      <c r="D26" s="282"/>
      <c r="E26" s="285"/>
      <c r="F26" s="283"/>
      <c r="G26" s="287"/>
    </row>
    <row r="27" spans="1:7" s="258" customFormat="1" ht="24.75">
      <c r="A27" s="299" t="s">
        <v>2330</v>
      </c>
      <c r="B27" s="288" t="s">
        <v>2331</v>
      </c>
      <c r="C27" s="289">
        <f ca="1">C28</f>
        <v>133</v>
      </c>
      <c r="D27" s="279">
        <f ca="1">C29</f>
        <v>8.9999999999999998E-4</v>
      </c>
      <c r="E27" s="280" t="s">
        <v>2332</v>
      </c>
      <c r="F27" s="290">
        <f ca="1">IF(B1="",'数据-取费表'!Q16,INDIRECT("'数据-取费表'!q"&amp;$G$1))</f>
        <v>0.15</v>
      </c>
      <c r="G27" s="291" t="s">
        <v>2333</v>
      </c>
    </row>
    <row r="28" spans="1:7" s="258" customFormat="1" ht="13.5" customHeight="1">
      <c r="A28" s="951" t="s">
        <v>790</v>
      </c>
      <c r="B28" s="292" t="s">
        <v>2334</v>
      </c>
      <c r="C28" s="293">
        <f ca="1">ROUND((C5+C19+C20)*F27*'数据-取费表'!B21/'数据-取费表'!B20,0)</f>
        <v>133</v>
      </c>
      <c r="D28" s="279"/>
      <c r="E28" s="280"/>
      <c r="F28" s="290"/>
      <c r="G28" s="291"/>
    </row>
    <row r="29" spans="1:7" s="258" customFormat="1" ht="13.5" customHeight="1">
      <c r="A29" s="951" t="s">
        <v>791</v>
      </c>
      <c r="B29" s="292" t="s">
        <v>2335</v>
      </c>
      <c r="C29" s="282">
        <f ca="1">ROUND(C21*F27*'数据-取费表'!B21/'数据-取费表'!B20,4)</f>
        <v>8.9999999999999998E-4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1810</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541</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489</v>
      </c>
      <c r="D34" s="261"/>
      <c r="E34" s="264"/>
      <c r="F34" s="301">
        <f ca="1">IF('数据-取费表'!B24=0,1,IF(B1="",'数据-取费表'!N16,INDIRECT("'数据-取费表'!n"&amp;$G$1)))</f>
        <v>0.6</v>
      </c>
      <c r="G34" s="263" t="s">
        <v>2344</v>
      </c>
    </row>
    <row r="35" spans="1:7" ht="13.5" customHeight="1">
      <c r="A35" s="951" t="s">
        <v>795</v>
      </c>
      <c r="B35" s="259" t="s">
        <v>2345</v>
      </c>
      <c r="C35" s="264">
        <f ca="1">ROUND(C34*F35,0)</f>
        <v>24</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21</v>
      </c>
      <c r="D37" s="261">
        <f ca="1">D19</f>
        <v>2323.5299999999997</v>
      </c>
      <c r="E37" s="293">
        <f>'数据-取费表'!B35</f>
        <v>150</v>
      </c>
      <c r="F37" s="303"/>
      <c r="G37" s="305" t="s">
        <v>2350</v>
      </c>
    </row>
    <row r="38" spans="1:7" ht="13.5" customHeight="1">
      <c r="A38" s="951" t="s">
        <v>798</v>
      </c>
      <c r="B38" s="259" t="s">
        <v>2351</v>
      </c>
      <c r="C38" s="264">
        <f ca="1">ROUND(C34*F38,0)</f>
        <v>7</v>
      </c>
      <c r="D38" s="264"/>
      <c r="E38" s="264"/>
      <c r="F38" s="303">
        <f>'数据-取费表'!B36</f>
        <v>1.4999999999999999E-2</v>
      </c>
      <c r="G38" s="263" t="s">
        <v>2346</v>
      </c>
    </row>
    <row r="39" spans="1:7" s="258" customFormat="1" ht="13.5" customHeight="1">
      <c r="A39" s="299" t="s">
        <v>2352</v>
      </c>
      <c r="B39" s="254" t="s">
        <v>2353</v>
      </c>
      <c r="C39" s="276">
        <f ca="1">ROUND(C33*F20,0)</f>
        <v>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15</v>
      </c>
      <c r="D41" s="279">
        <f ca="1">C44</f>
        <v>2.9999999999999997E-4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15</v>
      </c>
      <c r="D42" s="282"/>
      <c r="E42" s="282"/>
      <c r="F42" s="283"/>
      <c r="G42" s="3226" t="s">
        <v>2362</v>
      </c>
    </row>
    <row r="43" spans="1:7" ht="13.5" customHeight="1">
      <c r="A43" s="951" t="s">
        <v>791</v>
      </c>
      <c r="B43" s="259" t="s">
        <v>2363</v>
      </c>
      <c r="C43" s="282">
        <f ca="1">ROUND(IF('数据-取费表'!B22&lt;=1,C39*F22*'数据-取费表'!B21/2,C39*(POWER((1+F22),'数据-取费表'!B21/2)-1)),0)</f>
        <v>0</v>
      </c>
      <c r="D43" s="282"/>
      <c r="E43" s="282"/>
      <c r="F43" s="283"/>
      <c r="G43" s="3227"/>
    </row>
    <row r="44" spans="1:7" ht="13.5" customHeight="1">
      <c r="A44" s="951" t="s">
        <v>792</v>
      </c>
      <c r="B44" s="259" t="s">
        <v>2364</v>
      </c>
      <c r="C44" s="282">
        <f ca="1">ROUND(IF('数据-取费表'!B22&lt;=1,C40*F22*'数据-取费表'!B21/2,C40*(POWER((1+F22),'数据-取费表'!B21/2)-1)),4)</f>
        <v>2.9999999999999997E-4</v>
      </c>
      <c r="D44" s="282"/>
      <c r="E44" s="282"/>
      <c r="F44" s="283"/>
      <c r="G44" s="3228"/>
    </row>
    <row r="45" spans="1:7" s="258" customFormat="1" ht="13.5" customHeight="1">
      <c r="A45" s="299" t="s">
        <v>2365</v>
      </c>
      <c r="B45" s="288" t="s">
        <v>2331</v>
      </c>
      <c r="C45" s="289">
        <f ca="1">C46</f>
        <v>82</v>
      </c>
      <c r="D45" s="279">
        <f ca="1">C47</f>
        <v>1.5E-3</v>
      </c>
      <c r="E45" s="280" t="s">
        <v>2357</v>
      </c>
      <c r="F45" s="290"/>
      <c r="G45" s="291" t="s">
        <v>2366</v>
      </c>
    </row>
    <row r="46" spans="1:7" s="258" customFormat="1" ht="13.5" customHeight="1">
      <c r="A46" s="951" t="s">
        <v>790</v>
      </c>
      <c r="B46" s="292" t="s">
        <v>2367</v>
      </c>
      <c r="C46" s="293">
        <f ca="1">ROUND((C33+C39)*F27,0)</f>
        <v>82</v>
      </c>
      <c r="D46" s="307"/>
      <c r="E46" s="280"/>
      <c r="F46" s="290"/>
      <c r="G46" s="291"/>
    </row>
    <row r="47" spans="1:7" s="258" customFormat="1" ht="13.5" customHeight="1">
      <c r="A47" s="951" t="s">
        <v>791</v>
      </c>
      <c r="B47" s="292" t="s">
        <v>2368</v>
      </c>
      <c r="C47" s="282">
        <f ca="1">ROUND(C40*F27,4)</f>
        <v>1.5E-3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688</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688</v>
      </c>
      <c r="D51" s="276"/>
      <c r="E51" s="276"/>
      <c r="F51" s="308"/>
      <c r="G51" s="278" t="s">
        <v>2378</v>
      </c>
    </row>
    <row r="52" spans="1:7" s="252" customFormat="1" ht="16.5" thickBot="1">
      <c r="A52" s="309" t="s">
        <v>2379</v>
      </c>
      <c r="B52" s="310"/>
      <c r="C52" s="311">
        <f ca="1">C31+C51</f>
        <v>2498</v>
      </c>
      <c r="D52" s="310"/>
      <c r="E52" s="310"/>
      <c r="F52" s="310"/>
      <c r="G52" s="312"/>
    </row>
    <row r="55" spans="1:7" ht="15">
      <c r="B55" s="314" t="s">
        <v>2380</v>
      </c>
      <c r="C55" s="315"/>
    </row>
    <row r="56" spans="1:7">
      <c r="B56" s="317" t="s">
        <v>1505</v>
      </c>
      <c r="C56" s="319">
        <f ca="1">1-C57</f>
        <v>0.72499999999999998</v>
      </c>
    </row>
    <row r="57" spans="1:7">
      <c r="B57" s="317" t="s">
        <v>1506</v>
      </c>
      <c r="C57" s="318">
        <f ca="1">ROUND(C51/C52,3)</f>
        <v>0.27500000000000002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5" sqref="H1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8</v>
      </c>
    </row>
    <row r="2" spans="1:33" ht="18" customHeight="1">
      <c r="A2" s="245" t="s">
        <v>2280</v>
      </c>
      <c r="B2" s="248">
        <f ca="1">C32</f>
        <v>2985</v>
      </c>
      <c r="C2" s="320" t="s">
        <v>2413</v>
      </c>
      <c r="D2" s="320"/>
      <c r="E2" s="320"/>
      <c r="F2" s="320"/>
      <c r="G2" s="320"/>
      <c r="H2" s="320"/>
      <c r="I2" s="320"/>
      <c r="J2" s="320"/>
      <c r="K2" s="320"/>
    </row>
    <row r="3" spans="1:33" ht="18" customHeight="1" thickBot="1">
      <c r="A3" s="247" t="s">
        <v>2282</v>
      </c>
      <c r="B3" s="248">
        <f ca="1">ROUND(B2*10000/IF(C1="",'数据-汇总表'!E3,INDIRECT("'数据-取费表'!K"&amp;$K$1)),0)</f>
        <v>12847</v>
      </c>
      <c r="C3" s="320" t="s">
        <v>2414</v>
      </c>
      <c r="D3" s="320"/>
      <c r="E3" s="320"/>
      <c r="F3" s="320"/>
      <c r="G3" s="320"/>
      <c r="H3" s="320"/>
      <c r="I3" s="320"/>
      <c r="J3" s="320"/>
      <c r="K3" s="320"/>
    </row>
    <row r="4" spans="1:33" s="956" customFormat="1" ht="16.5" customHeight="1">
      <c r="A4" s="953" t="s">
        <v>2415</v>
      </c>
      <c r="B4" s="954"/>
      <c r="C4" s="996">
        <f ca="1">SUM(C8:K8)</f>
        <v>4030.7879999999973</v>
      </c>
      <c r="D4" s="954"/>
      <c r="E4" s="954"/>
      <c r="F4" s="954"/>
      <c r="G4" s="954"/>
      <c r="H4" s="954"/>
      <c r="I4" s="954"/>
      <c r="J4" s="954"/>
      <c r="K4" s="955"/>
    </row>
    <row r="5" spans="1:33" s="960" customFormat="1" ht="18.75" customHeight="1">
      <c r="A5" s="957" t="s">
        <v>2416</v>
      </c>
      <c r="B5" s="958" t="s">
        <v>2417</v>
      </c>
      <c r="C5" s="2553" t="s">
        <v>3366</v>
      </c>
      <c r="D5" s="2553"/>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v>28000</v>
      </c>
      <c r="D6" s="962"/>
      <c r="E6" s="962">
        <f ca="1">'收益法-地下车库'!B3</f>
        <v>6742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1159.2099999999991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E8/52</f>
        <v>15.096153846153847</v>
      </c>
      <c r="N7" s="964" t="s">
        <v>3350</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C6*C7/10000</f>
        <v>3245.7879999999973</v>
      </c>
      <c r="D8" s="997"/>
      <c r="E8" s="997">
        <f ca="1">'收益法-地下车库'!B2</f>
        <v>785</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325</v>
      </c>
      <c r="D11" s="973"/>
      <c r="E11" s="375"/>
      <c r="F11" s="974">
        <f ca="1">1-IF('数据-取费表'!B24=0,1,IF(C1="",'数据-取费表'!N16,INDIRECT("'数据-取费表'!n"&amp;$K$1)))</f>
        <v>0.4</v>
      </c>
      <c r="G11" s="8"/>
      <c r="H11" s="968"/>
      <c r="I11" s="968"/>
      <c r="J11" s="968"/>
      <c r="K11" s="969"/>
    </row>
    <row r="12" spans="1:33" s="975" customFormat="1" ht="13.5" customHeight="1">
      <c r="A12" s="971" t="s">
        <v>1327</v>
      </c>
      <c r="B12" s="972" t="s">
        <v>2431</v>
      </c>
      <c r="C12" s="24">
        <f ca="1">ROUND(C11*F12,0)</f>
        <v>16</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14</v>
      </c>
      <c r="D14" s="1033">
        <f ca="1">IF(C1="",'数据-汇总表'!E3,INDIRECT("'数据-取费表'!K"&amp;$K$1)+INDIRECT("'数据-取费表'!S"&amp;$K$1))</f>
        <v>2323.5299999999997</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5</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360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2323.5299999999997</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0</v>
      </c>
      <c r="D18" s="1033"/>
      <c r="E18" s="24"/>
      <c r="F18" s="976"/>
      <c r="G18" s="2555"/>
      <c r="H18" s="1576"/>
      <c r="I18" s="2556" t="s">
        <v>2443</v>
      </c>
      <c r="J18" s="979"/>
      <c r="K18" s="980"/>
    </row>
    <row r="19" spans="1:33" s="975" customFormat="1" ht="13.5" customHeight="1">
      <c r="A19" s="971" t="s">
        <v>804</v>
      </c>
      <c r="B19" s="972" t="s">
        <v>2444</v>
      </c>
      <c r="C19" s="24">
        <f ca="1">ROUND(D19*E19/10000,0)</f>
        <v>14</v>
      </c>
      <c r="D19" s="1033">
        <f ca="1">IF(C1="",'数据-汇总表'!E5,IF(INDIRECT("'数据-取费表'!c"&amp;$K$1)="住宅",INDIRECT("'数据-取费表'!k"&amp;$K$1),0))</f>
        <v>1159.21</v>
      </c>
      <c r="E19" s="24">
        <f>'数据-取费表'!B27</f>
        <v>122</v>
      </c>
      <c r="F19" s="976"/>
      <c r="G19" s="15"/>
      <c r="H19" s="1578"/>
      <c r="I19" s="981"/>
      <c r="J19" s="981"/>
      <c r="K19" s="982"/>
    </row>
    <row r="20" spans="1:33" s="975" customFormat="1" ht="13.5" customHeight="1">
      <c r="A20" s="971" t="s">
        <v>805</v>
      </c>
      <c r="B20" s="972" t="s">
        <v>2445</v>
      </c>
      <c r="C20" s="24">
        <f ca="1">ROUND(D20*E20/10000,0)</f>
        <v>14</v>
      </c>
      <c r="D20" s="1033">
        <f ca="1">IF(C1="",'数据-汇总表'!E6,IF(INDIRECT("'数据-取费表'!c"&amp;$K$1)="住宅",INDIRECT("'数据-取费表'!s"&amp;$K$1),INDIRECT("'数据-取费表'!k"&amp;$K$1)+INDIRECT("'数据-取费表'!s"&amp;$K$1)))</f>
        <v>1164.3199999999997</v>
      </c>
      <c r="E20" s="24">
        <f>'数据-取费表'!B28</f>
        <v>122</v>
      </c>
      <c r="F20" s="976"/>
      <c r="G20" s="15"/>
      <c r="H20" s="981"/>
      <c r="I20" s="981"/>
      <c r="J20" s="981"/>
      <c r="K20" s="982"/>
    </row>
    <row r="21" spans="1:33" s="975" customFormat="1" ht="13.5" customHeight="1">
      <c r="A21" s="961" t="s">
        <v>801</v>
      </c>
      <c r="B21" s="985" t="s">
        <v>2446</v>
      </c>
      <c r="C21" s="986">
        <f ca="1">C16+C17+C18</f>
        <v>360</v>
      </c>
      <c r="D21" s="987"/>
      <c r="E21" s="325"/>
      <c r="F21" s="325"/>
      <c r="G21" s="140" t="s">
        <v>2447</v>
      </c>
      <c r="H21" s="979"/>
      <c r="I21" s="979"/>
      <c r="J21" s="979"/>
      <c r="K21" s="980"/>
    </row>
    <row r="22" spans="1:33" s="975" customFormat="1" ht="13.5" customHeight="1">
      <c r="A22" s="961" t="s">
        <v>2419</v>
      </c>
      <c r="B22" s="985" t="s">
        <v>2448</v>
      </c>
      <c r="C22" s="986">
        <f ca="1">ROUND(C21*F22,0)</f>
        <v>4</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16</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7</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3.8899999999999997E-2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7</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57</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802</v>
      </c>
      <c r="B29" s="994" t="s">
        <v>2461</v>
      </c>
      <c r="C29" s="328">
        <f ca="1">ROUND((1+C24)*F28*'数据-取费表'!B24/'数据-取费表'!B20,4)</f>
        <v>6.1699999999999998E-2</v>
      </c>
      <c r="D29" s="328"/>
      <c r="E29" s="329"/>
      <c r="F29" s="334"/>
      <c r="G29" s="140" t="s">
        <v>2462</v>
      </c>
      <c r="H29" s="979"/>
      <c r="I29" s="979"/>
      <c r="J29" s="979"/>
      <c r="K29" s="980"/>
    </row>
    <row r="30" spans="1:33" s="335" customFormat="1" ht="13.5" customHeight="1">
      <c r="A30" s="971" t="s">
        <v>803</v>
      </c>
      <c r="B30" s="994" t="s">
        <v>2463</v>
      </c>
      <c r="C30" s="336">
        <f ca="1">ROUND((C21+C22+C23)*F28,0)</f>
        <v>57</v>
      </c>
      <c r="D30" s="328"/>
      <c r="E30" s="329"/>
      <c r="F30" s="334"/>
      <c r="G30" s="140"/>
      <c r="H30" s="979"/>
      <c r="I30" s="979"/>
      <c r="J30" s="979"/>
      <c r="K30" s="980"/>
    </row>
    <row r="31" spans="1:33" s="975" customFormat="1" ht="13.5" customHeight="1" thickBot="1">
      <c r="A31" s="2559" t="s">
        <v>2464</v>
      </c>
      <c r="B31" s="1005" t="s">
        <v>2465</v>
      </c>
      <c r="C31" s="1006">
        <f ca="1">ROUND(C4*F31/(1+'数据-取费表'!C42),0)</f>
        <v>215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2985</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8</v>
      </c>
      <c r="H1" s="1282" t="str">
        <f>IF(ISERROR(FIND("住宅",B1)),"非住宅","住宅")</f>
        <v>非住宅</v>
      </c>
    </row>
    <row r="2" spans="1:8" s="244" customFormat="1" ht="18" customHeight="1">
      <c r="A2" s="245" t="s">
        <v>2280</v>
      </c>
      <c r="B2" s="246">
        <f ca="1">ROUND(IF(D2="——",C52/10000,C52/10000-E2),0)</f>
        <v>1251</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5384</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283471</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283471</v>
      </c>
      <c r="D8" s="266"/>
      <c r="E8" s="264"/>
      <c r="F8" s="265"/>
      <c r="G8" s="2549"/>
    </row>
    <row r="9" spans="1:8" s="258" customFormat="1" ht="13.5" customHeight="1">
      <c r="A9" s="950" t="s">
        <v>799</v>
      </c>
      <c r="B9" s="268" t="s">
        <v>2296</v>
      </c>
      <c r="C9" s="269">
        <f ca="1">ROUND(D9*E9,0)</f>
        <v>141424</v>
      </c>
      <c r="D9" s="1032">
        <f ca="1">IF(B1="",'数据-汇总表'!E5,IF(INDIRECT("'数据-取费表'!c"&amp;$G$1)="住宅",INDIRECT("'数据-取费表'!k"&amp;$G$1),0))</f>
        <v>1159.21</v>
      </c>
      <c r="E9" s="269">
        <f>'数据-取费表'!B27</f>
        <v>122</v>
      </c>
      <c r="F9" s="265"/>
      <c r="G9" s="270"/>
    </row>
    <row r="10" spans="1:8" s="258" customFormat="1" ht="13.5" customHeight="1">
      <c r="A10" s="950" t="s">
        <v>800</v>
      </c>
      <c r="B10" s="268" t="s">
        <v>2298</v>
      </c>
      <c r="C10" s="269">
        <f ca="1">ROUND(D10*E10,0)</f>
        <v>142047</v>
      </c>
      <c r="D10" s="1032">
        <f ca="1">IF(B1="",'数据-汇总表'!E6,IF(INDIRECT("'数据-取费表'!c"&amp;$G$1)="住宅",INDIRECT("'数据-取费表'!s"&amp;$G$1),INDIRECT("'数据-取费表'!k"&amp;$G$1)+INDIRECT("'数据-取费表'!s"&amp;$G$1)))</f>
        <v>1164.3199999999997</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348530</v>
      </c>
      <c r="D19" s="1036">
        <f ca="1">D9+D10</f>
        <v>2323.5299999999997</v>
      </c>
      <c r="E19" s="255">
        <f>'数据-取费表'!B31</f>
        <v>150</v>
      </c>
      <c r="F19" s="275"/>
      <c r="G19" s="2549"/>
    </row>
    <row r="20" spans="1:7" s="258" customFormat="1" ht="13.5" customHeight="1">
      <c r="A20" s="299" t="s">
        <v>2392</v>
      </c>
      <c r="B20" s="254" t="s">
        <v>2393</v>
      </c>
      <c r="C20" s="276">
        <f ca="1">ROUND((C5+C19)*F20,0)</f>
        <v>6320</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61766</v>
      </c>
      <c r="D22" s="279">
        <f ca="1">C26</f>
        <v>5.0000000000000001E-4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27569</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33897</v>
      </c>
      <c r="D24" s="282"/>
      <c r="E24" s="282"/>
      <c r="F24" s="283"/>
      <c r="G24" s="284" t="s">
        <v>2404</v>
      </c>
    </row>
    <row r="25" spans="1:7" s="258" customFormat="1" ht="24">
      <c r="A25" s="951" t="s">
        <v>2294</v>
      </c>
      <c r="B25" s="259" t="s">
        <v>2405</v>
      </c>
      <c r="C25" s="1381">
        <f ca="1">ROUND(IF('数据-取费表'!B22&lt;=1,C20*F22*'数据-取费表'!B22/2,C20*(POWER((1+F22),'数据-取费表'!B22/2)-1)),0)</f>
        <v>300</v>
      </c>
      <c r="D25" s="282"/>
      <c r="E25" s="285"/>
      <c r="F25" s="283"/>
      <c r="G25" s="286" t="s">
        <v>2406</v>
      </c>
    </row>
    <row r="26" spans="1:7" s="258" customFormat="1">
      <c r="A26" s="951" t="s">
        <v>794</v>
      </c>
      <c r="B26" s="259" t="s">
        <v>2329</v>
      </c>
      <c r="C26" s="282">
        <f ca="1">ROUND(IF('数据-取费表'!B22&lt;=1,F21*F22*'数据-取费表'!B22/2,F21*(POWER((1+F22),'数据-取费表'!B22/2)-1)),4)</f>
        <v>5.0000000000000001E-4</v>
      </c>
      <c r="D26" s="282"/>
      <c r="E26" s="285"/>
      <c r="F26" s="283"/>
      <c r="G26" s="287"/>
    </row>
    <row r="27" spans="1:7" s="258" customFormat="1" ht="24.75">
      <c r="A27" s="299" t="s">
        <v>2330</v>
      </c>
      <c r="B27" s="288" t="s">
        <v>2331</v>
      </c>
      <c r="C27" s="289">
        <f ca="1">C28</f>
        <v>95748</v>
      </c>
      <c r="D27" s="279">
        <f ca="1">C29</f>
        <v>1.5E-3</v>
      </c>
      <c r="E27" s="280" t="s">
        <v>2332</v>
      </c>
      <c r="F27" s="290">
        <f ca="1">IF(B1="",'数据-取费表'!Q16,INDIRECT("'数据-取费表'!q"&amp;$G$1))</f>
        <v>0.15</v>
      </c>
      <c r="G27" s="291" t="s">
        <v>2333</v>
      </c>
    </row>
    <row r="28" spans="1:7" s="258" customFormat="1" ht="13.5" customHeight="1">
      <c r="A28" s="951" t="s">
        <v>790</v>
      </c>
      <c r="B28" s="292" t="s">
        <v>2334</v>
      </c>
      <c r="C28" s="293">
        <f ca="1">ROUND((C5+C19+C20)*F27,0)</f>
        <v>95748</v>
      </c>
      <c r="D28" s="279"/>
      <c r="E28" s="280"/>
      <c r="F28" s="290"/>
      <c r="G28" s="291"/>
    </row>
    <row r="29" spans="1:7" s="258" customFormat="1" ht="13.5" customHeight="1">
      <c r="A29" s="951" t="s">
        <v>791</v>
      </c>
      <c r="B29" s="292" t="s">
        <v>2335</v>
      </c>
      <c r="C29" s="282">
        <f ca="1">ROUND(C21*F27,4)</f>
        <v>1.5E-3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851434</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9009488</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8132355</v>
      </c>
      <c r="D34" s="261"/>
      <c r="E34" s="264"/>
      <c r="F34" s="301"/>
      <c r="G34" s="263"/>
    </row>
    <row r="35" spans="1:7" ht="13.5" customHeight="1">
      <c r="A35" s="951" t="s">
        <v>795</v>
      </c>
      <c r="B35" s="259" t="s">
        <v>2345</v>
      </c>
      <c r="C35" s="264">
        <f ca="1">ROUND(C34*F35,0)</f>
        <v>406618</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348530</v>
      </c>
      <c r="D37" s="261">
        <f ca="1">D19</f>
        <v>2323.5299999999997</v>
      </c>
      <c r="E37" s="293">
        <f>'数据-取费表'!B35</f>
        <v>150</v>
      </c>
      <c r="F37" s="303"/>
      <c r="G37" s="305"/>
    </row>
    <row r="38" spans="1:7" ht="13.5" customHeight="1">
      <c r="A38" s="951" t="s">
        <v>798</v>
      </c>
      <c r="B38" s="259" t="s">
        <v>2351</v>
      </c>
      <c r="C38" s="264">
        <f ca="1">ROUND(C34*F38,0)</f>
        <v>121985</v>
      </c>
      <c r="D38" s="264"/>
      <c r="E38" s="264"/>
      <c r="F38" s="303">
        <f>'数据-取费表'!B36</f>
        <v>1.4999999999999999E-2</v>
      </c>
      <c r="G38" s="263" t="s">
        <v>2346</v>
      </c>
    </row>
    <row r="39" spans="1:7" s="258" customFormat="1" ht="13.5" customHeight="1">
      <c r="A39" s="299" t="s">
        <v>2352</v>
      </c>
      <c r="B39" s="254" t="s">
        <v>2353</v>
      </c>
      <c r="C39" s="276">
        <f ca="1">ROUND(C33*F20,0)</f>
        <v>90095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432231</v>
      </c>
      <c r="D41" s="279">
        <f ca="1">C44</f>
        <v>5.0000000000000001E-4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427951</v>
      </c>
      <c r="D42" s="282"/>
      <c r="E42" s="282"/>
      <c r="F42" s="283"/>
      <c r="G42" s="3226" t="s">
        <v>2409</v>
      </c>
    </row>
    <row r="43" spans="1:7" ht="13.5" customHeight="1">
      <c r="A43" s="951" t="s">
        <v>791</v>
      </c>
      <c r="B43" s="259" t="s">
        <v>2363</v>
      </c>
      <c r="C43" s="282">
        <f ca="1">ROUND(IF('数据-取费表'!B22&lt;=1,C39*F22*'数据-取费表'!B20/2,C39*(POWER((1+F22),'数据-取费表'!B20/2)-1)),0)</f>
        <v>4280</v>
      </c>
      <c r="D43" s="282"/>
      <c r="E43" s="282"/>
      <c r="F43" s="283"/>
      <c r="G43" s="3227"/>
    </row>
    <row r="44" spans="1:7" ht="13.5" customHeight="1">
      <c r="A44" s="951" t="s">
        <v>792</v>
      </c>
      <c r="B44" s="259" t="s">
        <v>2364</v>
      </c>
      <c r="C44" s="282">
        <f ca="1">ROUND(IF('数据-取费表'!B22&lt;=1,C40*F22*'数据-取费表'!B20/2,C40*(POWER((1+F22),'数据-取费表'!B20/2)-1)),4)</f>
        <v>5.0000000000000001E-4</v>
      </c>
      <c r="D44" s="282"/>
      <c r="E44" s="282"/>
      <c r="F44" s="283"/>
      <c r="G44" s="3228"/>
    </row>
    <row r="45" spans="1:7" s="258" customFormat="1" ht="13.5" customHeight="1">
      <c r="A45" s="299" t="s">
        <v>2365</v>
      </c>
      <c r="B45" s="288" t="s">
        <v>2331</v>
      </c>
      <c r="C45" s="289">
        <f ca="1">C46</f>
        <v>1364937</v>
      </c>
      <c r="D45" s="279">
        <f ca="1">C47</f>
        <v>1.5E-3</v>
      </c>
      <c r="E45" s="280" t="s">
        <v>2357</v>
      </c>
      <c r="F45" s="290"/>
      <c r="G45" s="291" t="s">
        <v>2366</v>
      </c>
    </row>
    <row r="46" spans="1:7" s="258" customFormat="1" ht="13.5" customHeight="1">
      <c r="A46" s="951" t="s">
        <v>790</v>
      </c>
      <c r="B46" s="292" t="s">
        <v>2367</v>
      </c>
      <c r="C46" s="293">
        <f ca="1">ROUND((C33+C39)*F27,0)</f>
        <v>1364937</v>
      </c>
      <c r="D46" s="307"/>
      <c r="E46" s="280"/>
      <c r="F46" s="290"/>
      <c r="G46" s="291"/>
    </row>
    <row r="47" spans="1:7" s="258" customFormat="1" ht="13.5" customHeight="1">
      <c r="A47" s="951" t="s">
        <v>791</v>
      </c>
      <c r="B47" s="292" t="s">
        <v>2368</v>
      </c>
      <c r="C47" s="282">
        <f ca="1">ROUND(C40*F27,4)</f>
        <v>1.5E-3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11658020</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11658020</v>
      </c>
      <c r="D51" s="276"/>
      <c r="E51" s="276"/>
      <c r="F51" s="308"/>
      <c r="G51" s="278" t="s">
        <v>2378</v>
      </c>
    </row>
    <row r="52" spans="1:7" s="252" customFormat="1" ht="16.5" thickBot="1">
      <c r="A52" s="309" t="s">
        <v>2379</v>
      </c>
      <c r="B52" s="310"/>
      <c r="C52" s="311">
        <f ca="1">C31+C51</f>
        <v>12509454</v>
      </c>
      <c r="D52" s="310"/>
      <c r="E52" s="310"/>
      <c r="F52" s="310"/>
      <c r="G52" s="312"/>
    </row>
    <row r="55" spans="1:7" ht="15">
      <c r="B55" s="314" t="s">
        <v>2380</v>
      </c>
      <c r="C55" s="315"/>
    </row>
    <row r="56" spans="1:7">
      <c r="B56" s="317" t="s">
        <v>1505</v>
      </c>
      <c r="C56" s="319">
        <f ca="1">1-C57</f>
        <v>6.7999999999999949E-2</v>
      </c>
    </row>
    <row r="57" spans="1:7">
      <c r="B57" s="317" t="s">
        <v>1506</v>
      </c>
      <c r="C57" s="318">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3343</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10773</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6" t="s">
        <v>2486</v>
      </c>
      <c r="D4" s="3199"/>
      <c r="E4" s="3200" t="s">
        <v>2487</v>
      </c>
      <c r="F4" s="3201"/>
      <c r="G4" s="3186" t="s">
        <v>2488</v>
      </c>
      <c r="H4" s="3199"/>
      <c r="I4" s="3186" t="s">
        <v>2489</v>
      </c>
      <c r="J4" s="3199"/>
      <c r="K4" s="2595" t="s">
        <v>2490</v>
      </c>
      <c r="L4" s="1130"/>
      <c r="M4" s="1131"/>
      <c r="N4" s="1131"/>
      <c r="O4" s="1131"/>
      <c r="P4" s="3202" t="s">
        <v>2491</v>
      </c>
      <c r="Q4" s="3203"/>
      <c r="R4" s="3208" t="s">
        <v>2487</v>
      </c>
      <c r="S4" s="3209"/>
      <c r="T4" s="3208" t="s">
        <v>2488</v>
      </c>
      <c r="U4" s="3209"/>
      <c r="V4" s="3195" t="s">
        <v>2489</v>
      </c>
      <c r="W4" s="3195"/>
      <c r="X4" s="1812"/>
      <c r="Y4" s="3208" t="s">
        <v>2491</v>
      </c>
      <c r="Z4" s="3209"/>
      <c r="AA4" s="3196" t="s">
        <v>2487</v>
      </c>
      <c r="AB4" s="3196" t="s">
        <v>2488</v>
      </c>
      <c r="AC4" s="3196" t="s">
        <v>2489</v>
      </c>
    </row>
    <row r="5" spans="1:29" ht="15">
      <c r="A5" s="404"/>
      <c r="B5" s="405"/>
      <c r="C5" s="3237" t="s">
        <v>3316</v>
      </c>
      <c r="D5" s="3217"/>
      <c r="E5" s="3238" t="s">
        <v>3357</v>
      </c>
      <c r="F5" s="3225"/>
      <c r="G5" s="3237" t="s">
        <v>3358</v>
      </c>
      <c r="H5" s="3217"/>
      <c r="I5" s="3237" t="s">
        <v>3329</v>
      </c>
      <c r="J5" s="3217"/>
      <c r="K5" s="2596"/>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2496</v>
      </c>
      <c r="D6" s="3215"/>
      <c r="E6" s="3222" t="s">
        <v>2496</v>
      </c>
      <c r="F6" s="3223"/>
      <c r="G6" s="3214" t="s">
        <v>2496</v>
      </c>
      <c r="H6" s="3215"/>
      <c r="I6" s="3214" t="s">
        <v>2496</v>
      </c>
      <c r="J6" s="3215"/>
      <c r="K6" s="2596" t="s">
        <v>2497</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2498</v>
      </c>
      <c r="B7" s="409"/>
      <c r="C7" s="410">
        <f>'数据-取费表'!B2</f>
        <v>43871</v>
      </c>
      <c r="D7" s="411">
        <v>100</v>
      </c>
      <c r="E7" s="412">
        <f>C7</f>
        <v>43871</v>
      </c>
      <c r="F7" s="413">
        <f>SUMIF(58:58,YEAR(E7)&amp;"-"&amp;MONTH(E7),59:59)</f>
        <v>100</v>
      </c>
      <c r="G7" s="412">
        <f>C7</f>
        <v>43871</v>
      </c>
      <c r="H7" s="411">
        <f>SUMIF(58:58,YEAR(G7)&amp;"-"&amp;MONTH(G7),59:59)</f>
        <v>100</v>
      </c>
      <c r="I7" s="412">
        <f>C7</f>
        <v>43871</v>
      </c>
      <c r="J7" s="411">
        <f>SUMIF(58:58,YEAR(I7)&amp;"-"&amp;MONTH(I7),59:59)</f>
        <v>100</v>
      </c>
      <c r="K7" s="2597"/>
      <c r="L7" s="1132"/>
      <c r="M7" s="1133"/>
      <c r="N7" s="1133"/>
      <c r="O7" s="1133"/>
      <c r="P7" s="3218" t="s">
        <v>2499</v>
      </c>
      <c r="Q7" s="3220"/>
      <c r="R7" s="770" t="s">
        <v>23</v>
      </c>
      <c r="S7" s="771">
        <f t="shared" ref="S7:S15" si="0">F7</f>
        <v>100</v>
      </c>
      <c r="T7" s="770" t="s">
        <v>23</v>
      </c>
      <c r="U7" s="771">
        <f t="shared" ref="U7:U15" si="1">H7</f>
        <v>100</v>
      </c>
      <c r="V7" s="770" t="s">
        <v>23</v>
      </c>
      <c r="W7" s="771">
        <f t="shared" ref="W7:W15" si="2">J7</f>
        <v>100</v>
      </c>
      <c r="X7" s="772"/>
      <c r="Y7" s="3218" t="s">
        <v>2499</v>
      </c>
      <c r="Z7" s="3219"/>
      <c r="AA7" s="773">
        <f>D7/F7</f>
        <v>1</v>
      </c>
      <c r="AB7" s="773">
        <f>D7/H7</f>
        <v>1</v>
      </c>
      <c r="AC7" s="773">
        <f>D7/J7</f>
        <v>1</v>
      </c>
    </row>
    <row r="8" spans="1:29" s="117" customFormat="1" ht="15.75" thickBot="1">
      <c r="A8" s="408" t="s">
        <v>2500</v>
      </c>
      <c r="B8" s="409"/>
      <c r="C8" s="414" t="s">
        <v>2501</v>
      </c>
      <c r="D8" s="411">
        <v>100</v>
      </c>
      <c r="E8" s="2598" t="s">
        <v>3289</v>
      </c>
      <c r="F8" s="413">
        <f>SUMIF(61:61,E8,62:62)-SUMIF(61:61,C8,62:62)+100</f>
        <v>100</v>
      </c>
      <c r="G8" s="2598" t="s">
        <v>3289</v>
      </c>
      <c r="H8" s="411">
        <f>SUMIF(61:61,G8,62:62)-SUMIF(61:61,C8,62:62)+100</f>
        <v>100</v>
      </c>
      <c r="I8" s="2598" t="s">
        <v>3289</v>
      </c>
      <c r="J8" s="411">
        <f>SUMIF(61:61,I8,62:62)-SUMIF(61:61,C8,62:62)+100</f>
        <v>100</v>
      </c>
      <c r="K8" s="2597"/>
      <c r="L8" s="1132"/>
      <c r="M8" s="1133"/>
      <c r="N8" s="1133"/>
      <c r="O8" s="1133"/>
      <c r="P8" s="3218" t="s">
        <v>2502</v>
      </c>
      <c r="Q8" s="3219"/>
      <c r="R8" s="770" t="s">
        <v>23</v>
      </c>
      <c r="S8" s="771">
        <f t="shared" si="0"/>
        <v>100</v>
      </c>
      <c r="T8" s="770" t="s">
        <v>23</v>
      </c>
      <c r="U8" s="771">
        <f t="shared" si="1"/>
        <v>100</v>
      </c>
      <c r="V8" s="770" t="s">
        <v>23</v>
      </c>
      <c r="W8" s="771">
        <f t="shared" si="2"/>
        <v>100</v>
      </c>
      <c r="X8" s="772"/>
      <c r="Y8" s="3218" t="s">
        <v>2502</v>
      </c>
      <c r="Z8" s="3219"/>
      <c r="AA8" s="773">
        <f t="shared" ref="AA8:AA19" si="3">D8/F8</f>
        <v>1</v>
      </c>
      <c r="AB8" s="773">
        <f t="shared" ref="AB8:AB19" si="4">D8/H8</f>
        <v>1</v>
      </c>
      <c r="AC8" s="773">
        <f t="shared" ref="AC8:AC19" si="5">D8/J8</f>
        <v>1</v>
      </c>
    </row>
    <row r="9" spans="1:29" s="117" customFormat="1">
      <c r="A9" s="415" t="s">
        <v>2503</v>
      </c>
      <c r="B9" s="71" t="s">
        <v>2504</v>
      </c>
      <c r="C9" s="2964" t="s">
        <v>3320</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8"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773">
        <f t="shared" si="5"/>
        <v>1</v>
      </c>
    </row>
    <row r="10" spans="1:29" s="427" customFormat="1" ht="27">
      <c r="A10" s="421"/>
      <c r="B10" s="422" t="s">
        <v>2507</v>
      </c>
      <c r="C10" s="423" t="s">
        <v>3319</v>
      </c>
      <c r="D10" s="136">
        <v>100</v>
      </c>
      <c r="E10" s="424" t="s">
        <v>3319</v>
      </c>
      <c r="F10" s="425">
        <f>SUMIF(65:65,E10,66:66)-SUMIF(65:65,C10,66:66)+100</f>
        <v>100</v>
      </c>
      <c r="G10" s="424" t="s">
        <v>3319</v>
      </c>
      <c r="H10" s="136">
        <f>SUMIF(65:65,G10,66:66)-SUMIF(65:65,C10,66:66)+100</f>
        <v>100</v>
      </c>
      <c r="I10" s="424" t="s">
        <v>3319</v>
      </c>
      <c r="J10" s="136">
        <f>SUMIF(65:65,I10,66:66)-SUMIF(65:65,C10,66:66)+100</f>
        <v>100</v>
      </c>
      <c r="K10" s="426">
        <v>1</v>
      </c>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2508</v>
      </c>
      <c r="C11" s="429">
        <f>'数据-汇总表'!I4</f>
        <v>1.66</v>
      </c>
      <c r="D11" s="136">
        <v>100</v>
      </c>
      <c r="E11" s="430">
        <v>6.17</v>
      </c>
      <c r="F11" s="425">
        <f>LOOKUP(E11,68:68,69:69)-LOOKUP(C11,68:68,69:69)+100</f>
        <v>95</v>
      </c>
      <c r="G11" s="430">
        <v>5.5</v>
      </c>
      <c r="H11" s="136">
        <f>LOOKUP(G11,68:68,69:69)-LOOKUP(C11,68:68,69:69)+100</f>
        <v>96</v>
      </c>
      <c r="I11" s="430">
        <v>3.6</v>
      </c>
      <c r="J11" s="136">
        <f>LOOKUP(I11,68:68,69:69)-LOOKUP(C11,68:68,69:69)+100</f>
        <v>98</v>
      </c>
      <c r="K11" s="426">
        <v>1</v>
      </c>
      <c r="L11" s="1138"/>
      <c r="M11" s="1131"/>
      <c r="N11" s="1131"/>
      <c r="O11" s="1131"/>
      <c r="P11" s="3188"/>
      <c r="Q11" s="1794" t="str">
        <f t="shared" si="6"/>
        <v>容积率</v>
      </c>
      <c r="R11" s="770" t="s">
        <v>21</v>
      </c>
      <c r="S11" s="771">
        <f t="shared" si="0"/>
        <v>95</v>
      </c>
      <c r="T11" s="770" t="s">
        <v>21</v>
      </c>
      <c r="U11" s="771">
        <f t="shared" si="1"/>
        <v>96</v>
      </c>
      <c r="V11" s="770" t="s">
        <v>21</v>
      </c>
      <c r="W11" s="771">
        <f t="shared" si="2"/>
        <v>98</v>
      </c>
      <c r="X11" s="772"/>
      <c r="Y11" s="3040"/>
      <c r="Z11" s="55" t="str">
        <f t="shared" si="7"/>
        <v>容积率</v>
      </c>
      <c r="AA11" s="773">
        <f t="shared" si="3"/>
        <v>1.0526315789473684</v>
      </c>
      <c r="AB11" s="773">
        <f t="shared" si="4"/>
        <v>1.0416666666666667</v>
      </c>
      <c r="AC11" s="773">
        <f t="shared" si="5"/>
        <v>1.0204081632653061</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8"/>
      <c r="Q12" s="1794">
        <f t="shared" si="6"/>
        <v>0</v>
      </c>
      <c r="R12" s="770" t="s">
        <v>21</v>
      </c>
      <c r="S12" s="771">
        <f t="shared" si="0"/>
        <v>100</v>
      </c>
      <c r="T12" s="770" t="s">
        <v>21</v>
      </c>
      <c r="U12" s="771">
        <f t="shared" si="1"/>
        <v>100</v>
      </c>
      <c r="V12" s="770" t="s">
        <v>21</v>
      </c>
      <c r="W12" s="771">
        <f t="shared" si="2"/>
        <v>100</v>
      </c>
      <c r="X12" s="772"/>
      <c r="Y12" s="3040"/>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8"/>
      <c r="Q13" s="1794">
        <f t="shared" si="6"/>
        <v>0</v>
      </c>
      <c r="R13" s="770" t="s">
        <v>21</v>
      </c>
      <c r="S13" s="771">
        <f t="shared" si="0"/>
        <v>100</v>
      </c>
      <c r="T13" s="770" t="s">
        <v>21</v>
      </c>
      <c r="U13" s="771">
        <f t="shared" si="1"/>
        <v>100</v>
      </c>
      <c r="V13" s="770" t="s">
        <v>21</v>
      </c>
      <c r="W13" s="771">
        <f t="shared" si="2"/>
        <v>100</v>
      </c>
      <c r="X13" s="772"/>
      <c r="Y13" s="3040"/>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8"/>
      <c r="Q14" s="1794">
        <f t="shared" si="6"/>
        <v>0</v>
      </c>
      <c r="R14" s="770" t="s">
        <v>21</v>
      </c>
      <c r="S14" s="771">
        <f t="shared" si="0"/>
        <v>100</v>
      </c>
      <c r="T14" s="770" t="s">
        <v>21</v>
      </c>
      <c r="U14" s="771">
        <f t="shared" si="1"/>
        <v>100</v>
      </c>
      <c r="V14" s="770" t="s">
        <v>21</v>
      </c>
      <c r="W14" s="771">
        <f t="shared" si="2"/>
        <v>100</v>
      </c>
      <c r="X14" s="772"/>
      <c r="Y14" s="3040"/>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3291</v>
      </c>
      <c r="F15" s="441">
        <f>SUMIF(76:76,E16,77:77)-SUMIF(76:76,C16,77:77)+100</f>
        <v>100</v>
      </c>
      <c r="G15" s="444" t="s">
        <v>3291</v>
      </c>
      <c r="H15" s="441">
        <f>SUMIF(76:76,G16,77:77)-SUMIF(76:76,C16,77:77)+100</f>
        <v>100</v>
      </c>
      <c r="I15" s="444" t="s">
        <v>3291</v>
      </c>
      <c r="J15" s="441">
        <f>SUMIF(76:76,I16,77:77)-SUMIF(76:76,C16,77:77)+100</f>
        <v>100</v>
      </c>
      <c r="K15" s="445">
        <v>2</v>
      </c>
      <c r="L15" s="1140"/>
      <c r="M15" s="1131"/>
      <c r="N15" s="1131"/>
      <c r="O15" s="1131"/>
      <c r="P15" s="3235" t="s">
        <v>2510</v>
      </c>
      <c r="Q15" s="1809" t="str">
        <f t="shared" si="6"/>
        <v>居住社区成熟度</v>
      </c>
      <c r="R15" s="774" t="s">
        <v>21</v>
      </c>
      <c r="S15" s="775">
        <f t="shared" si="0"/>
        <v>100</v>
      </c>
      <c r="T15" s="774" t="s">
        <v>21</v>
      </c>
      <c r="U15" s="775">
        <f t="shared" si="1"/>
        <v>100</v>
      </c>
      <c r="V15" s="774" t="s">
        <v>21</v>
      </c>
      <c r="W15" s="775">
        <f t="shared" si="2"/>
        <v>100</v>
      </c>
      <c r="X15" s="1812"/>
      <c r="Y15" s="3191" t="s">
        <v>2510</v>
      </c>
      <c r="Z15" s="1813" t="str">
        <f t="shared" si="7"/>
        <v>居住社区成熟度</v>
      </c>
      <c r="AA15" s="1810">
        <f t="shared" si="3"/>
        <v>1</v>
      </c>
      <c r="AB15" s="1810">
        <f t="shared" si="4"/>
        <v>1</v>
      </c>
      <c r="AC15" s="1810">
        <f t="shared" si="5"/>
        <v>1</v>
      </c>
    </row>
    <row r="16" spans="1:29" ht="15">
      <c r="A16" s="428"/>
      <c r="B16" s="446"/>
      <c r="C16" s="447" t="s">
        <v>3306</v>
      </c>
      <c r="D16" s="448"/>
      <c r="E16" s="2603" t="s">
        <v>3306</v>
      </c>
      <c r="F16" s="448"/>
      <c r="G16" s="2603" t="s">
        <v>3306</v>
      </c>
      <c r="H16" s="450"/>
      <c r="I16" s="2603" t="s">
        <v>3306</v>
      </c>
      <c r="J16" s="448"/>
      <c r="K16" s="2605"/>
      <c r="L16" s="1140"/>
      <c r="M16" s="1131"/>
      <c r="N16" s="1131"/>
      <c r="O16" s="1131"/>
      <c r="P16" s="3236"/>
      <c r="Q16" s="1809"/>
      <c r="R16" s="774"/>
      <c r="S16" s="775"/>
      <c r="T16" s="774"/>
      <c r="U16" s="775"/>
      <c r="V16" s="774"/>
      <c r="W16" s="775"/>
      <c r="X16" s="1812"/>
      <c r="Y16" s="3192"/>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3359</v>
      </c>
      <c r="F17" s="450">
        <f>SUMIF(78:78,E18,79:79)-SUMIF(78:78,C18,79:79)+100</f>
        <v>104</v>
      </c>
      <c r="G17" s="2961" t="s">
        <v>3328</v>
      </c>
      <c r="H17" s="455">
        <f>SUMIF(78:78,G18,79:79)-SUMIF(78:78,C18,79:79)+100</f>
        <v>100</v>
      </c>
      <c r="I17" s="2961" t="s">
        <v>3330</v>
      </c>
      <c r="J17" s="455">
        <f>SUMIF(78:78,I18,79:79)-SUMIF(78:78,C18,79:79)+100</f>
        <v>104</v>
      </c>
      <c r="K17" s="445">
        <v>4</v>
      </c>
      <c r="L17" s="1140"/>
      <c r="M17" s="1131"/>
      <c r="N17" s="1131"/>
      <c r="O17" s="1131"/>
      <c r="P17" s="3236"/>
      <c r="Q17" s="1809" t="str">
        <f>B17</f>
        <v>交通便捷度</v>
      </c>
      <c r="R17" s="774" t="s">
        <v>21</v>
      </c>
      <c r="S17" s="775">
        <f>F17</f>
        <v>104</v>
      </c>
      <c r="T17" s="774" t="s">
        <v>21</v>
      </c>
      <c r="U17" s="775">
        <f>H17</f>
        <v>100</v>
      </c>
      <c r="V17" s="774" t="s">
        <v>21</v>
      </c>
      <c r="W17" s="775">
        <f>J17</f>
        <v>104</v>
      </c>
      <c r="X17" s="1812"/>
      <c r="Y17" s="3192"/>
      <c r="Z17" s="1813" t="str">
        <f>Q17</f>
        <v>交通便捷度</v>
      </c>
      <c r="AA17" s="1810">
        <f t="shared" si="3"/>
        <v>0.96153846153846156</v>
      </c>
      <c r="AB17" s="1810">
        <f t="shared" si="4"/>
        <v>1</v>
      </c>
      <c r="AC17" s="1810">
        <f t="shared" si="5"/>
        <v>0.96153846153846156</v>
      </c>
    </row>
    <row r="18" spans="1:29" ht="15">
      <c r="A18" s="428"/>
      <c r="B18" s="456"/>
      <c r="C18" s="2607" t="s">
        <v>3306</v>
      </c>
      <c r="D18" s="450"/>
      <c r="E18" s="2608" t="s">
        <v>3282</v>
      </c>
      <c r="F18" s="450"/>
      <c r="G18" s="2608" t="s">
        <v>3306</v>
      </c>
      <c r="H18" s="448"/>
      <c r="I18" s="2608" t="s">
        <v>3282</v>
      </c>
      <c r="J18" s="448"/>
      <c r="K18" s="2605"/>
      <c r="L18" s="1140"/>
      <c r="M18" s="1131"/>
      <c r="N18" s="1131"/>
      <c r="O18" s="1131"/>
      <c r="P18" s="3236"/>
      <c r="Q18" s="1809"/>
      <c r="R18" s="774"/>
      <c r="S18" s="775"/>
      <c r="T18" s="774"/>
      <c r="U18" s="775"/>
      <c r="V18" s="774"/>
      <c r="W18" s="775"/>
      <c r="X18" s="1812"/>
      <c r="Y18" s="3192"/>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3296</v>
      </c>
      <c r="F19" s="455">
        <f>SUMIF(80:80,E20,81:81)-SUMIF(80:80,C20,81:81)+100</f>
        <v>100</v>
      </c>
      <c r="G19" s="459" t="s">
        <v>3296</v>
      </c>
      <c r="H19" s="450">
        <f>SUMIF(80:80,G20,81:81)-SUMIF(80:80,C20,81:81)+100</f>
        <v>100</v>
      </c>
      <c r="I19" s="2981" t="s">
        <v>3332</v>
      </c>
      <c r="J19" s="450">
        <f>SUMIF(80:80,I20,81:81)-SUMIF(80:80,C20,81:81)+100</f>
        <v>100</v>
      </c>
      <c r="K19" s="445">
        <v>1</v>
      </c>
      <c r="L19" s="1140"/>
      <c r="M19" s="1131"/>
      <c r="N19" s="1131"/>
      <c r="O19" s="1131"/>
      <c r="P19" s="3236"/>
      <c r="Q19" s="1809" t="str">
        <f>B19</f>
        <v>公共配套设施</v>
      </c>
      <c r="R19" s="774" t="s">
        <v>21</v>
      </c>
      <c r="S19" s="775">
        <f>F19</f>
        <v>100</v>
      </c>
      <c r="T19" s="774" t="s">
        <v>21</v>
      </c>
      <c r="U19" s="775">
        <f>H19</f>
        <v>100</v>
      </c>
      <c r="V19" s="774" t="s">
        <v>21</v>
      </c>
      <c r="W19" s="775">
        <f>J19</f>
        <v>100</v>
      </c>
      <c r="X19" s="1812"/>
      <c r="Y19" s="3192"/>
      <c r="Z19" s="1813" t="str">
        <f>Q19</f>
        <v>公共配套设施</v>
      </c>
      <c r="AA19" s="1810">
        <f t="shared" si="3"/>
        <v>1</v>
      </c>
      <c r="AB19" s="1810">
        <f t="shared" si="4"/>
        <v>1</v>
      </c>
      <c r="AC19" s="1810">
        <f t="shared" si="5"/>
        <v>1</v>
      </c>
    </row>
    <row r="20" spans="1:29" ht="15">
      <c r="A20" s="428"/>
      <c r="B20" s="456"/>
      <c r="C20" s="447" t="s">
        <v>3306</v>
      </c>
      <c r="D20" s="448"/>
      <c r="E20" s="2603" t="s">
        <v>3306</v>
      </c>
      <c r="F20" s="448"/>
      <c r="G20" s="2603" t="s">
        <v>3306</v>
      </c>
      <c r="H20" s="448"/>
      <c r="I20" s="2603" t="s">
        <v>3306</v>
      </c>
      <c r="J20" s="448"/>
      <c r="K20" s="2605"/>
      <c r="L20" s="1140"/>
      <c r="M20" s="1131"/>
      <c r="N20" s="1131"/>
      <c r="O20" s="1131"/>
      <c r="P20" s="3236"/>
      <c r="Q20" s="1809"/>
      <c r="R20" s="774"/>
      <c r="S20" s="775"/>
      <c r="T20" s="774"/>
      <c r="U20" s="775"/>
      <c r="V20" s="774"/>
      <c r="W20" s="775"/>
      <c r="X20" s="1812"/>
      <c r="Y20" s="3192"/>
      <c r="Z20" s="1813"/>
      <c r="AA20" s="1810">
        <v>1</v>
      </c>
      <c r="AB20" s="1810">
        <v>1</v>
      </c>
      <c r="AC20" s="1810">
        <v>1</v>
      </c>
    </row>
    <row r="21" spans="1:29" ht="42.75">
      <c r="A21" s="428"/>
      <c r="B21" s="1384" t="s">
        <v>2053</v>
      </c>
      <c r="C21" s="2606" t="str">
        <f>估价对象房地状况!C8</f>
        <v>估价对象所在区域基础设施水平较好</v>
      </c>
      <c r="D21" s="450">
        <v>100</v>
      </c>
      <c r="E21" s="459" t="s">
        <v>3298</v>
      </c>
      <c r="F21" s="455">
        <f>SUMIF(82:82,E22,83:83)-SUMIF(82:82,C22,83:83)+100</f>
        <v>100</v>
      </c>
      <c r="G21" s="459" t="s">
        <v>3298</v>
      </c>
      <c r="H21" s="450">
        <f>SUMIF(82:82,G22,83:83)-SUMIF(82:82,C22,83:83)+100</f>
        <v>100</v>
      </c>
      <c r="I21" s="459" t="s">
        <v>3298</v>
      </c>
      <c r="J21" s="450">
        <f>SUMIF(82:82,I22,83:83)-SUMIF(82:82,C22,83:83)+100</f>
        <v>100</v>
      </c>
      <c r="K21" s="445">
        <v>1</v>
      </c>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7" t="s">
        <v>3285</v>
      </c>
      <c r="D22" s="448"/>
      <c r="E22" s="447" t="s">
        <v>3285</v>
      </c>
      <c r="F22" s="448"/>
      <c r="G22" s="447" t="s">
        <v>3285</v>
      </c>
      <c r="H22" s="448"/>
      <c r="I22" s="447" t="s">
        <v>3285</v>
      </c>
      <c r="J22" s="448"/>
      <c r="K22" s="2611"/>
      <c r="L22" s="1140"/>
      <c r="M22" s="1131"/>
      <c r="N22" s="1131"/>
      <c r="O22" s="1131"/>
      <c r="P22" s="3236"/>
      <c r="Q22" s="1809"/>
      <c r="R22" s="774"/>
      <c r="S22" s="775"/>
      <c r="T22" s="774"/>
      <c r="U22" s="775"/>
      <c r="V22" s="774"/>
      <c r="W22" s="775"/>
      <c r="X22" s="1812"/>
      <c r="Y22" s="3192"/>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3300</v>
      </c>
      <c r="F23" s="450">
        <f>SUMIF(84:84,E24,85:85)-SUMIF(84:84,C24,85:85)+100</f>
        <v>100</v>
      </c>
      <c r="G23" s="454" t="s">
        <v>3300</v>
      </c>
      <c r="H23" s="450">
        <f>SUMIF(84:84,G24,85:85)-SUMIF(84:84,C24,85:85)+100</f>
        <v>100</v>
      </c>
      <c r="I23" s="454" t="s">
        <v>3300</v>
      </c>
      <c r="J23" s="450">
        <f>SUMIF(84:84,I24,85:85)-SUMIF(84:84,C24,85:85)+100</f>
        <v>100</v>
      </c>
      <c r="K23" s="445">
        <v>1</v>
      </c>
      <c r="L23" s="1140"/>
      <c r="M23" s="1131"/>
      <c r="N23" s="1131"/>
      <c r="O23" s="1131"/>
      <c r="P23" s="3236"/>
      <c r="Q23" s="1809" t="str">
        <f>B23</f>
        <v>自然及人文环境</v>
      </c>
      <c r="R23" s="774" t="s">
        <v>21</v>
      </c>
      <c r="S23" s="775">
        <f>F23</f>
        <v>100</v>
      </c>
      <c r="T23" s="774" t="s">
        <v>21</v>
      </c>
      <c r="U23" s="775">
        <f>H23</f>
        <v>100</v>
      </c>
      <c r="V23" s="774" t="s">
        <v>21</v>
      </c>
      <c r="W23" s="775">
        <f>J23</f>
        <v>100</v>
      </c>
      <c r="X23" s="1812"/>
      <c r="Y23" s="3192"/>
      <c r="Z23" s="1813" t="str">
        <f>Q23</f>
        <v>自然及人文环境</v>
      </c>
      <c r="AA23" s="1810">
        <f>D23/F23</f>
        <v>1</v>
      </c>
      <c r="AB23" s="1810">
        <f>D23/H23</f>
        <v>1</v>
      </c>
      <c r="AC23" s="1810">
        <f>D23/J23</f>
        <v>1</v>
      </c>
    </row>
    <row r="24" spans="1:29" ht="15">
      <c r="A24" s="428"/>
      <c r="B24" s="456"/>
      <c r="C24" s="447" t="s">
        <v>3282</v>
      </c>
      <c r="D24" s="448"/>
      <c r="E24" s="2603" t="s">
        <v>3282</v>
      </c>
      <c r="F24" s="448"/>
      <c r="G24" s="2603" t="s">
        <v>3282</v>
      </c>
      <c r="H24" s="448"/>
      <c r="I24" s="2603" t="s">
        <v>3282</v>
      </c>
      <c r="J24" s="448"/>
      <c r="K24" s="2605"/>
      <c r="L24" s="1140"/>
      <c r="M24" s="1131"/>
      <c r="N24" s="1131"/>
      <c r="O24" s="1131"/>
      <c r="P24" s="3236"/>
      <c r="Q24" s="1809"/>
      <c r="R24" s="774"/>
      <c r="S24" s="775"/>
      <c r="T24" s="774"/>
      <c r="U24" s="775"/>
      <c r="V24" s="774"/>
      <c r="W24" s="775"/>
      <c r="X24" s="1812"/>
      <c r="Y24" s="3192"/>
      <c r="Z24" s="1813"/>
      <c r="AA24" s="1810">
        <v>1</v>
      </c>
      <c r="AB24" s="1810">
        <v>1</v>
      </c>
      <c r="AC24" s="1810">
        <v>1</v>
      </c>
    </row>
    <row r="25" spans="1:29" ht="15">
      <c r="A25" s="428"/>
      <c r="B25" s="422" t="s">
        <v>2511</v>
      </c>
      <c r="C25" s="460" t="s">
        <v>3317</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2"/>
      <c r="Z25" s="1813" t="str">
        <f>Q25</f>
        <v>楼层-1</v>
      </c>
      <c r="AA25" s="1810">
        <f t="shared" ref="AA25:AA46" si="15">D25/F25</f>
        <v>1</v>
      </c>
      <c r="AB25" s="1810">
        <f t="shared" ref="AB25:AB46" si="16">D25/H25</f>
        <v>1</v>
      </c>
      <c r="AC25" s="1810">
        <f t="shared" ref="AC25:AC46" si="17">D25/J25</f>
        <v>1</v>
      </c>
    </row>
    <row r="26" spans="1:29" ht="15">
      <c r="A26" s="428"/>
      <c r="B26" s="422" t="s">
        <v>2512</v>
      </c>
      <c r="C26" s="460" t="s">
        <v>3318</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6"/>
      <c r="Q26" s="1809" t="str">
        <f t="shared" si="11"/>
        <v>朝向</v>
      </c>
      <c r="R26" s="774" t="s">
        <v>21</v>
      </c>
      <c r="S26" s="775">
        <f t="shared" si="12"/>
        <v>100</v>
      </c>
      <c r="T26" s="774" t="s">
        <v>21</v>
      </c>
      <c r="U26" s="775">
        <f t="shared" si="13"/>
        <v>100</v>
      </c>
      <c r="V26" s="774" t="s">
        <v>21</v>
      </c>
      <c r="W26" s="775">
        <f t="shared" si="14"/>
        <v>100</v>
      </c>
      <c r="X26" s="1812"/>
      <c r="Y26" s="3192"/>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6"/>
      <c r="Q27" s="1794">
        <f t="shared" si="11"/>
        <v>0</v>
      </c>
      <c r="R27" s="770" t="s">
        <v>21</v>
      </c>
      <c r="S27" s="771">
        <f t="shared" si="12"/>
        <v>100</v>
      </c>
      <c r="T27" s="770" t="s">
        <v>21</v>
      </c>
      <c r="U27" s="771">
        <f t="shared" si="13"/>
        <v>100</v>
      </c>
      <c r="V27" s="770" t="s">
        <v>21</v>
      </c>
      <c r="W27" s="771">
        <f t="shared" si="14"/>
        <v>100</v>
      </c>
      <c r="X27" s="772"/>
      <c r="Y27" s="3192"/>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6"/>
      <c r="Q28" s="1809">
        <f t="shared" si="11"/>
        <v>0</v>
      </c>
      <c r="R28" s="774" t="s">
        <v>21</v>
      </c>
      <c r="S28" s="775">
        <f t="shared" si="12"/>
        <v>100</v>
      </c>
      <c r="T28" s="774" t="s">
        <v>21</v>
      </c>
      <c r="U28" s="775">
        <f t="shared" si="13"/>
        <v>100</v>
      </c>
      <c r="V28" s="774" t="s">
        <v>21</v>
      </c>
      <c r="W28" s="775">
        <f t="shared" si="14"/>
        <v>100</v>
      </c>
      <c r="X28" s="1812"/>
      <c r="Y28" s="3192"/>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6"/>
      <c r="Q29" s="1809">
        <f t="shared" si="11"/>
        <v>0</v>
      </c>
      <c r="R29" s="774" t="s">
        <v>21</v>
      </c>
      <c r="S29" s="775">
        <f t="shared" si="12"/>
        <v>100</v>
      </c>
      <c r="T29" s="774" t="s">
        <v>21</v>
      </c>
      <c r="U29" s="775">
        <f t="shared" si="13"/>
        <v>100</v>
      </c>
      <c r="V29" s="774" t="s">
        <v>21</v>
      </c>
      <c r="W29" s="775">
        <f t="shared" si="14"/>
        <v>100</v>
      </c>
      <c r="X29" s="1812"/>
      <c r="Y29" s="3192"/>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6"/>
      <c r="Q30" s="1809">
        <f t="shared" si="11"/>
        <v>0</v>
      </c>
      <c r="R30" s="774" t="s">
        <v>21</v>
      </c>
      <c r="S30" s="775">
        <f t="shared" si="12"/>
        <v>100</v>
      </c>
      <c r="T30" s="774" t="s">
        <v>21</v>
      </c>
      <c r="U30" s="775">
        <f t="shared" si="13"/>
        <v>100</v>
      </c>
      <c r="V30" s="774" t="s">
        <v>21</v>
      </c>
      <c r="W30" s="775">
        <f t="shared" si="14"/>
        <v>100</v>
      </c>
      <c r="X30" s="1812"/>
      <c r="Y30" s="3192"/>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6"/>
      <c r="Q31" s="1809">
        <f t="shared" si="11"/>
        <v>0</v>
      </c>
      <c r="R31" s="774" t="s">
        <v>21</v>
      </c>
      <c r="S31" s="775">
        <f t="shared" si="12"/>
        <v>100</v>
      </c>
      <c r="T31" s="774" t="s">
        <v>21</v>
      </c>
      <c r="U31" s="775">
        <f t="shared" si="13"/>
        <v>100</v>
      </c>
      <c r="V31" s="774" t="s">
        <v>21</v>
      </c>
      <c r="W31" s="775">
        <f t="shared" si="14"/>
        <v>100</v>
      </c>
      <c r="X31" s="1812"/>
      <c r="Y31" s="3192"/>
      <c r="Z31" s="1813">
        <f t="shared" si="18"/>
        <v>0</v>
      </c>
      <c r="AA31" s="1810">
        <f t="shared" si="15"/>
        <v>1</v>
      </c>
      <c r="AB31" s="1810">
        <f t="shared" si="16"/>
        <v>1</v>
      </c>
      <c r="AC31" s="1810">
        <f t="shared" si="17"/>
        <v>1</v>
      </c>
    </row>
    <row r="32" spans="1:29" ht="15">
      <c r="A32" s="440" t="s">
        <v>2513</v>
      </c>
      <c r="B32" s="71" t="s">
        <v>2514</v>
      </c>
      <c r="C32" s="2616" t="s">
        <v>3353</v>
      </c>
      <c r="D32" s="467">
        <v>100</v>
      </c>
      <c r="E32" s="2617" t="s">
        <v>3353</v>
      </c>
      <c r="F32" s="461">
        <f>SUMIF(100:100,E32,101:101)-SUMIF(100:100,C32,101:101)+100</f>
        <v>100</v>
      </c>
      <c r="G32" s="2617" t="s">
        <v>3353</v>
      </c>
      <c r="H32" s="467">
        <f>SUMIF(100:100,G32,101:101)-SUMIF(100:100,C32,101:101)+100</f>
        <v>100</v>
      </c>
      <c r="I32" s="2617" t="s">
        <v>3353</v>
      </c>
      <c r="J32" s="435">
        <f>SUMIF(100:100,I32,101:101)-SUMIF(100:100,C32,101:101)+100</f>
        <v>100</v>
      </c>
      <c r="K32" s="426">
        <v>1</v>
      </c>
      <c r="L32" s="1140"/>
      <c r="M32" s="1131"/>
      <c r="N32" s="1131"/>
      <c r="O32" s="1131"/>
      <c r="P32" s="3231" t="s">
        <v>2515</v>
      </c>
      <c r="Q32" s="1809" t="str">
        <f t="shared" si="11"/>
        <v>建筑类型</v>
      </c>
      <c r="R32" s="774" t="s">
        <v>21</v>
      </c>
      <c r="S32" s="775">
        <f t="shared" si="12"/>
        <v>100</v>
      </c>
      <c r="T32" s="774" t="s">
        <v>21</v>
      </c>
      <c r="U32" s="775">
        <f t="shared" si="13"/>
        <v>100</v>
      </c>
      <c r="V32" s="774" t="s">
        <v>21</v>
      </c>
      <c r="W32" s="775">
        <f t="shared" si="14"/>
        <v>100</v>
      </c>
      <c r="X32" s="1812"/>
      <c r="Y32" s="3194"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19096.05</v>
      </c>
      <c r="D33" s="136">
        <v>100</v>
      </c>
      <c r="E33" s="430">
        <v>82000</v>
      </c>
      <c r="F33" s="425">
        <f>LOOKUP(E33,103:103,104:104)-LOOKUP(C33,103:103,104:104)+100</f>
        <v>102</v>
      </c>
      <c r="G33" s="429">
        <v>135553.28</v>
      </c>
      <c r="H33" s="136">
        <f>LOOKUP(G33,103:103,104:104)-LOOKUP(C33,103:103,104:104)+100</f>
        <v>103</v>
      </c>
      <c r="I33" s="430">
        <v>1400000</v>
      </c>
      <c r="J33" s="136">
        <f>LOOKUP(I33,103:103,104:104)-LOOKUP(C33,103:103,104:104)+100</f>
        <v>105</v>
      </c>
      <c r="K33" s="2600"/>
      <c r="L33" s="1138"/>
      <c r="M33" s="1141"/>
      <c r="N33" s="1141"/>
      <c r="O33" s="1141"/>
      <c r="P33" s="3232"/>
      <c r="Q33" s="776" t="str">
        <f t="shared" si="11"/>
        <v>项目建筑规模</v>
      </c>
      <c r="R33" s="777" t="s">
        <v>21</v>
      </c>
      <c r="S33" s="778">
        <f t="shared" si="12"/>
        <v>102</v>
      </c>
      <c r="T33" s="777" t="s">
        <v>21</v>
      </c>
      <c r="U33" s="778">
        <f t="shared" si="13"/>
        <v>103</v>
      </c>
      <c r="V33" s="777" t="s">
        <v>21</v>
      </c>
      <c r="W33" s="778">
        <f t="shared" si="14"/>
        <v>105</v>
      </c>
      <c r="X33" s="779"/>
      <c r="Y33" s="3194"/>
      <c r="Z33" s="780" t="str">
        <f t="shared" si="18"/>
        <v>项目建筑规模</v>
      </c>
      <c r="AA33" s="1810">
        <f t="shared" si="15"/>
        <v>0.98039215686274506</v>
      </c>
      <c r="AB33" s="1810">
        <f t="shared" si="16"/>
        <v>0.970873786407767</v>
      </c>
      <c r="AC33" s="1810">
        <f t="shared" si="17"/>
        <v>0.95238095238095233</v>
      </c>
    </row>
    <row r="34" spans="1:29" ht="15">
      <c r="A34" s="472"/>
      <c r="B34" s="422" t="s">
        <v>2517</v>
      </c>
      <c r="C34" s="2618" t="s">
        <v>3314</v>
      </c>
      <c r="D34" s="435">
        <v>100</v>
      </c>
      <c r="E34" s="2619" t="s">
        <v>3314</v>
      </c>
      <c r="F34" s="461">
        <f>SUMIF(105:105,E34,106:106)-SUMIF(105:105,C34,106:106)+100</f>
        <v>100</v>
      </c>
      <c r="G34" s="2619" t="s">
        <v>3314</v>
      </c>
      <c r="H34" s="435">
        <f>SUMIF(105:105,G34,106:106)-SUMIF(105:105,C34,106:106)+100</f>
        <v>100</v>
      </c>
      <c r="I34" s="2619" t="s">
        <v>3314</v>
      </c>
      <c r="J34" s="435">
        <f>SUMIF(105:105,I34,106:106)-SUMIF(105:105,C34,106:106)+100</f>
        <v>100</v>
      </c>
      <c r="K34" s="426">
        <v>1</v>
      </c>
      <c r="L34" s="1140"/>
      <c r="M34" s="1131"/>
      <c r="N34" s="1131"/>
      <c r="O34" s="1131"/>
      <c r="P34" s="3232"/>
      <c r="Q34" s="1809" t="str">
        <f t="shared" si="11"/>
        <v>建筑结构</v>
      </c>
      <c r="R34" s="774" t="s">
        <v>21</v>
      </c>
      <c r="S34" s="775">
        <f t="shared" si="12"/>
        <v>100</v>
      </c>
      <c r="T34" s="774" t="s">
        <v>21</v>
      </c>
      <c r="U34" s="775">
        <f t="shared" si="13"/>
        <v>100</v>
      </c>
      <c r="V34" s="774" t="s">
        <v>21</v>
      </c>
      <c r="W34" s="775">
        <f t="shared" si="14"/>
        <v>100</v>
      </c>
      <c r="X34" s="1812"/>
      <c r="Y34" s="3194"/>
      <c r="Z34" s="1813" t="str">
        <f t="shared" si="18"/>
        <v>建筑结构</v>
      </c>
      <c r="AA34" s="1810">
        <f t="shared" si="15"/>
        <v>1</v>
      </c>
      <c r="AB34" s="1810">
        <f t="shared" si="16"/>
        <v>1</v>
      </c>
      <c r="AC34" s="1810">
        <f t="shared" si="17"/>
        <v>1</v>
      </c>
    </row>
    <row r="35" spans="1:29" ht="15">
      <c r="A35" s="472"/>
      <c r="B35" s="422" t="s">
        <v>2518</v>
      </c>
      <c r="C35" s="2612" t="s">
        <v>3322</v>
      </c>
      <c r="D35" s="435">
        <v>100</v>
      </c>
      <c r="E35" s="2613" t="s">
        <v>3322</v>
      </c>
      <c r="F35" s="461">
        <f>SUMIF(107:107,E35,108:108)-SUMIF(107:107,C35,108:108)+100</f>
        <v>100</v>
      </c>
      <c r="G35" s="2613" t="s">
        <v>3322</v>
      </c>
      <c r="H35" s="435">
        <f>SUMIF(107:107,G35,108:108)-SUMIF(107:107,C35,108:108)+100</f>
        <v>100</v>
      </c>
      <c r="I35" s="2613" t="s">
        <v>3322</v>
      </c>
      <c r="J35" s="435">
        <f>SUMIF(107:107,I35,108:108)-SUMIF(107:107,C35,108:108)+100</f>
        <v>100</v>
      </c>
      <c r="K35" s="426">
        <v>1</v>
      </c>
      <c r="L35" s="1140"/>
      <c r="M35" s="1131"/>
      <c r="N35" s="1131"/>
      <c r="O35" s="1131"/>
      <c r="P35" s="3232"/>
      <c r="Q35" s="1809" t="str">
        <f t="shared" si="11"/>
        <v>建筑品质</v>
      </c>
      <c r="R35" s="774" t="s">
        <v>21</v>
      </c>
      <c r="S35" s="775">
        <f t="shared" si="12"/>
        <v>100</v>
      </c>
      <c r="T35" s="774" t="s">
        <v>21</v>
      </c>
      <c r="U35" s="775">
        <f t="shared" si="13"/>
        <v>100</v>
      </c>
      <c r="V35" s="774" t="s">
        <v>21</v>
      </c>
      <c r="W35" s="775">
        <f t="shared" si="14"/>
        <v>100</v>
      </c>
      <c r="X35" s="1812"/>
      <c r="Y35" s="3194"/>
      <c r="Z35" s="1813" t="str">
        <f t="shared" si="18"/>
        <v>建筑品质</v>
      </c>
      <c r="AA35" s="1810">
        <f t="shared" si="15"/>
        <v>1</v>
      </c>
      <c r="AB35" s="1810">
        <f t="shared" si="16"/>
        <v>1</v>
      </c>
      <c r="AC35" s="1810">
        <f t="shared" si="17"/>
        <v>1</v>
      </c>
    </row>
    <row r="36" spans="1:29" ht="15">
      <c r="A36" s="472"/>
      <c r="B36" s="422" t="s">
        <v>2519</v>
      </c>
      <c r="C36" s="2612" t="s">
        <v>3324</v>
      </c>
      <c r="D36" s="435">
        <v>100</v>
      </c>
      <c r="E36" s="2613" t="s">
        <v>3324</v>
      </c>
      <c r="F36" s="461">
        <f>SUMIF(109:109,E36,110:110)-SUMIF(109:109,C36,110:110)+100</f>
        <v>100</v>
      </c>
      <c r="G36" s="2613" t="s">
        <v>3324</v>
      </c>
      <c r="H36" s="435">
        <f>SUMIF(109:109,G36,110:110)-SUMIF(109:109,C36,110:110)+100</f>
        <v>100</v>
      </c>
      <c r="I36" s="2613" t="s">
        <v>3324</v>
      </c>
      <c r="J36" s="435">
        <f>SUMIF(109:109,I36,110:110)-SUMIF(109:109,C36,110:110)+100</f>
        <v>100</v>
      </c>
      <c r="K36" s="426">
        <v>1</v>
      </c>
      <c r="L36" s="1140"/>
      <c r="M36" s="1131"/>
      <c r="N36" s="1131"/>
      <c r="O36" s="1131"/>
      <c r="P36" s="3232"/>
      <c r="Q36" s="1809" t="str">
        <f t="shared" si="11"/>
        <v>公共部分装修</v>
      </c>
      <c r="R36" s="774" t="s">
        <v>21</v>
      </c>
      <c r="S36" s="775">
        <f t="shared" si="12"/>
        <v>100</v>
      </c>
      <c r="T36" s="774" t="s">
        <v>21</v>
      </c>
      <c r="U36" s="775">
        <f t="shared" si="13"/>
        <v>100</v>
      </c>
      <c r="V36" s="774" t="s">
        <v>21</v>
      </c>
      <c r="W36" s="775">
        <f t="shared" si="14"/>
        <v>100</v>
      </c>
      <c r="X36" s="1812"/>
      <c r="Y36" s="3194"/>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2"/>
      <c r="Q37" s="1794" t="str">
        <f t="shared" si="11"/>
        <v>成新度</v>
      </c>
      <c r="R37" s="770" t="s">
        <v>21</v>
      </c>
      <c r="S37" s="771">
        <f t="shared" si="12"/>
        <v>100</v>
      </c>
      <c r="T37" s="770" t="s">
        <v>21</v>
      </c>
      <c r="U37" s="771">
        <f t="shared" si="13"/>
        <v>100</v>
      </c>
      <c r="V37" s="770" t="s">
        <v>21</v>
      </c>
      <c r="W37" s="771">
        <f t="shared" si="14"/>
        <v>100</v>
      </c>
      <c r="X37" s="772"/>
      <c r="Y37" s="3194"/>
      <c r="Z37" s="55" t="str">
        <f t="shared" si="18"/>
        <v>成新度</v>
      </c>
      <c r="AA37" s="773">
        <f t="shared" si="15"/>
        <v>1</v>
      </c>
      <c r="AB37" s="773">
        <f t="shared" si="16"/>
        <v>1</v>
      </c>
      <c r="AC37" s="773">
        <f t="shared" si="17"/>
        <v>1</v>
      </c>
    </row>
    <row r="38" spans="1:29" ht="15">
      <c r="A38" s="472"/>
      <c r="B38" s="422" t="s">
        <v>2521</v>
      </c>
      <c r="C38" s="2612" t="s">
        <v>3326</v>
      </c>
      <c r="D38" s="435">
        <v>100</v>
      </c>
      <c r="E38" s="2613" t="s">
        <v>3326</v>
      </c>
      <c r="F38" s="461">
        <f>SUMIF(114:114,E38,115:115)-SUMIF(114:114,C38,115:115)+100</f>
        <v>100</v>
      </c>
      <c r="G38" s="2613" t="s">
        <v>3326</v>
      </c>
      <c r="H38" s="435">
        <f>SUMIF(114:114,G38,115:115)-SUMIF(114:114,C38,115:115)+100</f>
        <v>100</v>
      </c>
      <c r="I38" s="2613" t="s">
        <v>3326</v>
      </c>
      <c r="J38" s="435">
        <f>SUMIF(114:114,I38,115:115)-SUMIF(114:114,C38,115:115)+100</f>
        <v>100</v>
      </c>
      <c r="K38" s="426">
        <v>1</v>
      </c>
      <c r="L38" s="1140"/>
      <c r="M38" s="1131"/>
      <c r="N38" s="1131"/>
      <c r="O38" s="1131"/>
      <c r="P38" s="3232" t="s">
        <v>2515</v>
      </c>
      <c r="Q38" s="1809" t="str">
        <f t="shared" si="11"/>
        <v>物业管理</v>
      </c>
      <c r="R38" s="774" t="s">
        <v>21</v>
      </c>
      <c r="S38" s="775">
        <f t="shared" si="12"/>
        <v>100</v>
      </c>
      <c r="T38" s="774" t="s">
        <v>21</v>
      </c>
      <c r="U38" s="775">
        <f t="shared" si="13"/>
        <v>100</v>
      </c>
      <c r="V38" s="774" t="s">
        <v>21</v>
      </c>
      <c r="W38" s="775">
        <f t="shared" si="14"/>
        <v>100</v>
      </c>
      <c r="X38" s="1812"/>
      <c r="Y38" s="3194" t="s">
        <v>2515</v>
      </c>
      <c r="Z38" s="1813" t="str">
        <f t="shared" si="18"/>
        <v>物业管理</v>
      </c>
      <c r="AA38" s="1810">
        <f t="shared" si="15"/>
        <v>1</v>
      </c>
      <c r="AB38" s="1810">
        <f t="shared" si="16"/>
        <v>1</v>
      </c>
      <c r="AC38" s="1810">
        <f t="shared" si="17"/>
        <v>1</v>
      </c>
    </row>
    <row r="39" spans="1:29" ht="15">
      <c r="A39" s="472"/>
      <c r="B39" s="422" t="s">
        <v>2522</v>
      </c>
      <c r="C39" s="2612" t="s">
        <v>3285</v>
      </c>
      <c r="D39" s="435">
        <v>100</v>
      </c>
      <c r="E39" s="2613" t="s">
        <v>3285</v>
      </c>
      <c r="F39" s="461">
        <f>SUMIF(116:116,E39,117:117)-SUMIF(116:116,C39,117:117)+100</f>
        <v>100</v>
      </c>
      <c r="G39" s="2613" t="s">
        <v>3285</v>
      </c>
      <c r="H39" s="435">
        <f>SUMIF(116:116,G39,117:117)-SUMIF(116:116,C39,117:117)+100</f>
        <v>100</v>
      </c>
      <c r="I39" s="2613" t="s">
        <v>3285</v>
      </c>
      <c r="J39" s="435">
        <f>SUMIF(116:116,I39,117:117)-SUMIF(116:116,C39,117:117)+100</f>
        <v>100</v>
      </c>
      <c r="K39" s="426">
        <v>1</v>
      </c>
      <c r="L39" s="1140"/>
      <c r="M39" s="1131"/>
      <c r="N39" s="1131"/>
      <c r="O39" s="1131"/>
      <c r="P39" s="3232"/>
      <c r="Q39" s="1809" t="str">
        <f t="shared" si="11"/>
        <v>市政基础设施</v>
      </c>
      <c r="R39" s="774" t="s">
        <v>21</v>
      </c>
      <c r="S39" s="775">
        <f t="shared" si="12"/>
        <v>100</v>
      </c>
      <c r="T39" s="774" t="s">
        <v>21</v>
      </c>
      <c r="U39" s="775">
        <f t="shared" si="13"/>
        <v>100</v>
      </c>
      <c r="V39" s="774" t="s">
        <v>21</v>
      </c>
      <c r="W39" s="775">
        <f t="shared" si="14"/>
        <v>100</v>
      </c>
      <c r="X39" s="1812"/>
      <c r="Y39" s="3194"/>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2"/>
      <c r="Q40" s="1809" t="str">
        <f t="shared" si="11"/>
        <v>房型</v>
      </c>
      <c r="R40" s="774" t="s">
        <v>21</v>
      </c>
      <c r="S40" s="775">
        <f t="shared" si="12"/>
        <v>100</v>
      </c>
      <c r="T40" s="774" t="s">
        <v>21</v>
      </c>
      <c r="U40" s="775">
        <f t="shared" si="13"/>
        <v>100</v>
      </c>
      <c r="V40" s="774" t="s">
        <v>21</v>
      </c>
      <c r="W40" s="775">
        <f t="shared" si="14"/>
        <v>100</v>
      </c>
      <c r="X40" s="1812"/>
      <c r="Y40" s="3194"/>
      <c r="Z40" s="1813" t="str">
        <f t="shared" si="18"/>
        <v>房型</v>
      </c>
      <c r="AA40" s="1810">
        <f t="shared" si="15"/>
        <v>1</v>
      </c>
      <c r="AB40" s="1810">
        <f t="shared" si="16"/>
        <v>1</v>
      </c>
      <c r="AC40" s="1810">
        <f t="shared" si="17"/>
        <v>1</v>
      </c>
    </row>
    <row r="41" spans="1:29" s="471" customFormat="1" ht="28.5">
      <c r="A41" s="468"/>
      <c r="B41" s="422" t="s">
        <v>2524</v>
      </c>
      <c r="C41" s="469" t="s">
        <v>3317</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0">
        <f t="shared" si="15"/>
        <v>1</v>
      </c>
      <c r="AB41" s="1810">
        <f t="shared" si="16"/>
        <v>1</v>
      </c>
      <c r="AC41" s="1810">
        <f t="shared" si="17"/>
        <v>1</v>
      </c>
    </row>
    <row r="42" spans="1:29" ht="15">
      <c r="A42" s="472"/>
      <c r="B42" s="422" t="s">
        <v>2525</v>
      </c>
      <c r="C42" s="2612" t="s">
        <v>3324</v>
      </c>
      <c r="D42" s="435">
        <v>100</v>
      </c>
      <c r="E42" s="2613" t="s">
        <v>3324</v>
      </c>
      <c r="F42" s="461">
        <f>SUMIF(122:122,E42,123:123)-SUMIF(122:122,C42,123:123)+100</f>
        <v>100</v>
      </c>
      <c r="G42" s="2613" t="s">
        <v>3324</v>
      </c>
      <c r="H42" s="435">
        <f>SUMIF(122:122,G42,123:123)-SUMIF(122:122,C42,123:123)+100</f>
        <v>100</v>
      </c>
      <c r="I42" s="2613" t="s">
        <v>3324</v>
      </c>
      <c r="J42" s="435">
        <f>SUMIF(122:122,I42,123:123)-SUMIF(122:122,C42,123:123)+100</f>
        <v>100</v>
      </c>
      <c r="K42" s="426">
        <v>1</v>
      </c>
      <c r="L42" s="1140"/>
      <c r="M42" s="1131"/>
      <c r="N42" s="1131"/>
      <c r="O42" s="1131"/>
      <c r="P42" s="3232"/>
      <c r="Q42" s="1809" t="str">
        <f t="shared" si="11"/>
        <v>内部装修</v>
      </c>
      <c r="R42" s="774" t="s">
        <v>21</v>
      </c>
      <c r="S42" s="775">
        <f t="shared" si="12"/>
        <v>100</v>
      </c>
      <c r="T42" s="774" t="s">
        <v>21</v>
      </c>
      <c r="U42" s="775">
        <f t="shared" si="13"/>
        <v>100</v>
      </c>
      <c r="V42" s="774" t="s">
        <v>21</v>
      </c>
      <c r="W42" s="775">
        <f t="shared" si="14"/>
        <v>100</v>
      </c>
      <c r="X42" s="1812"/>
      <c r="Y42" s="3194"/>
      <c r="Z42" s="1813" t="str">
        <f t="shared" si="18"/>
        <v>内部装修</v>
      </c>
      <c r="AA42" s="1810">
        <f t="shared" si="15"/>
        <v>1</v>
      </c>
      <c r="AB42" s="1810">
        <f t="shared" si="16"/>
        <v>1</v>
      </c>
      <c r="AC42" s="1810">
        <f t="shared" si="17"/>
        <v>1</v>
      </c>
    </row>
    <row r="43" spans="1:29" ht="15">
      <c r="A43" s="472"/>
      <c r="B43" s="422" t="s">
        <v>2526</v>
      </c>
      <c r="C43" s="2612" t="s">
        <v>3282</v>
      </c>
      <c r="D43" s="435">
        <v>100</v>
      </c>
      <c r="E43" s="2613" t="s">
        <v>3282</v>
      </c>
      <c r="F43" s="461">
        <f>SUMIF(124:124,E43,125:125)-SUMIF(124:124,C43,125:125)+100</f>
        <v>100</v>
      </c>
      <c r="G43" s="2613" t="s">
        <v>3282</v>
      </c>
      <c r="H43" s="435">
        <f>SUMIF(124:124,G43,125:125)-SUMIF(124:124,C43,125:125)+100</f>
        <v>100</v>
      </c>
      <c r="I43" s="2613" t="s">
        <v>3282</v>
      </c>
      <c r="J43" s="435">
        <f>SUMIF(124:124,I43,125:125)-SUMIF(124:124,C43,125:125)+100</f>
        <v>100</v>
      </c>
      <c r="K43" s="426"/>
      <c r="L43" s="1140"/>
      <c r="M43" s="1131"/>
      <c r="N43" s="1131"/>
      <c r="O43" s="1131"/>
      <c r="P43" s="3232"/>
      <c r="Q43" s="1809" t="str">
        <f t="shared" si="11"/>
        <v>内部装修维护情况</v>
      </c>
      <c r="R43" s="774" t="s">
        <v>21</v>
      </c>
      <c r="S43" s="775">
        <f t="shared" si="12"/>
        <v>100</v>
      </c>
      <c r="T43" s="774" t="s">
        <v>21</v>
      </c>
      <c r="U43" s="775">
        <f t="shared" si="13"/>
        <v>100</v>
      </c>
      <c r="V43" s="774" t="s">
        <v>21</v>
      </c>
      <c r="W43" s="775">
        <f t="shared" si="14"/>
        <v>100</v>
      </c>
      <c r="X43" s="1812"/>
      <c r="Y43" s="3194"/>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2"/>
      <c r="Q44" s="1794">
        <f t="shared" si="11"/>
        <v>0</v>
      </c>
      <c r="R44" s="770" t="s">
        <v>21</v>
      </c>
      <c r="S44" s="771">
        <f t="shared" si="12"/>
        <v>100</v>
      </c>
      <c r="T44" s="770" t="s">
        <v>21</v>
      </c>
      <c r="U44" s="771">
        <f t="shared" si="13"/>
        <v>100</v>
      </c>
      <c r="V44" s="770" t="s">
        <v>21</v>
      </c>
      <c r="W44" s="771">
        <f t="shared" si="14"/>
        <v>100</v>
      </c>
      <c r="X44" s="772"/>
      <c r="Y44" s="3194"/>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2"/>
      <c r="Q45" s="1809">
        <f t="shared" si="11"/>
        <v>0</v>
      </c>
      <c r="R45" s="774" t="s">
        <v>21</v>
      </c>
      <c r="S45" s="775">
        <f t="shared" si="12"/>
        <v>100</v>
      </c>
      <c r="T45" s="774" t="s">
        <v>21</v>
      </c>
      <c r="U45" s="775">
        <f t="shared" si="13"/>
        <v>100</v>
      </c>
      <c r="V45" s="774" t="s">
        <v>21</v>
      </c>
      <c r="W45" s="775">
        <f t="shared" si="14"/>
        <v>100</v>
      </c>
      <c r="X45" s="1812"/>
      <c r="Y45" s="3194"/>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3"/>
      <c r="Q46" s="1809">
        <f t="shared" si="11"/>
        <v>0</v>
      </c>
      <c r="R46" s="774" t="s">
        <v>20</v>
      </c>
      <c r="S46" s="775">
        <f t="shared" si="12"/>
        <v>100</v>
      </c>
      <c r="T46" s="774" t="s">
        <v>20</v>
      </c>
      <c r="U46" s="775">
        <f t="shared" si="13"/>
        <v>100</v>
      </c>
      <c r="V46" s="774" t="s">
        <v>20</v>
      </c>
      <c r="W46" s="775">
        <f t="shared" si="14"/>
        <v>100</v>
      </c>
      <c r="X46" s="1812"/>
      <c r="Y46" s="3234"/>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9" t="str">
        <f>A47</f>
        <v>成交单价（元/平方米）</v>
      </c>
      <c r="Q47" s="3189"/>
      <c r="R47" s="3230">
        <f>E47</f>
        <v>11000</v>
      </c>
      <c r="S47" s="3230"/>
      <c r="T47" s="3230">
        <f>G47</f>
        <v>11000</v>
      </c>
      <c r="U47" s="3230"/>
      <c r="V47" s="3230">
        <f>I47</f>
        <v>11000</v>
      </c>
      <c r="W47" s="3230"/>
      <c r="X47" s="759"/>
      <c r="Y47" s="781"/>
      <c r="Z47" s="759"/>
      <c r="AA47" s="759"/>
      <c r="AB47" s="759"/>
      <c r="AC47" s="759"/>
    </row>
    <row r="48" spans="1:29" ht="15.75" thickBot="1">
      <c r="A48" s="486" t="s">
        <v>2528</v>
      </c>
      <c r="B48" s="487"/>
      <c r="C48" s="1413">
        <f>R49</f>
        <v>10773</v>
      </c>
      <c r="D48" s="1414"/>
      <c r="E48" s="1415">
        <f>R48</f>
        <v>10915</v>
      </c>
      <c r="F48" s="1415"/>
      <c r="G48" s="1413">
        <f>T48</f>
        <v>11125</v>
      </c>
      <c r="H48" s="1414"/>
      <c r="I48" s="1415">
        <f>V48</f>
        <v>10279</v>
      </c>
      <c r="J48" s="1414"/>
      <c r="K48" s="2621"/>
      <c r="L48" s="1143"/>
      <c r="M48" s="1144"/>
      <c r="N48" s="1144"/>
      <c r="O48" s="1144"/>
      <c r="P48" s="3189" t="str">
        <f>A48</f>
        <v>比较价值（元/平方米）</v>
      </c>
      <c r="Q48" s="3189"/>
      <c r="R48" s="3230">
        <f>IF(F1="售价",ROUND(PRODUCT(R47,AA7:AA46),0),ROUND(PRODUCT(R47,AA7:AA46),1))</f>
        <v>10915</v>
      </c>
      <c r="S48" s="3230"/>
      <c r="T48" s="3230">
        <f>IF(F1="售价",ROUND(PRODUCT(T47,AB7:AB46),0),ROUND(PRODUCT(T47,AB7:AB46),1))</f>
        <v>11125</v>
      </c>
      <c r="U48" s="3230"/>
      <c r="V48" s="3230">
        <f>IF(F1="售价",ROUND(PRODUCT(V47,AC7:AC46),0),ROUND(PRODUCT(V47,AC7:AC46),1))</f>
        <v>10279</v>
      </c>
      <c r="W48" s="3230"/>
      <c r="X48" s="759"/>
      <c r="Y48" s="759"/>
      <c r="Z48" s="759"/>
      <c r="AA48" s="759"/>
      <c r="AB48" s="759"/>
      <c r="AC48" s="759"/>
    </row>
    <row r="49" spans="1:29" ht="15.75" thickBot="1">
      <c r="A49" s="492" t="s">
        <v>3272</v>
      </c>
      <c r="B49" s="493"/>
      <c r="C49" s="1416">
        <f>R49</f>
        <v>10773</v>
      </c>
      <c r="D49" s="1417"/>
      <c r="E49" s="1417"/>
      <c r="F49" s="1417"/>
      <c r="G49" s="1417"/>
      <c r="H49" s="1417"/>
      <c r="I49" s="1417"/>
      <c r="J49" s="1417"/>
      <c r="K49" s="2622"/>
      <c r="L49" s="1143"/>
      <c r="M49" s="1144"/>
      <c r="N49" s="1144"/>
      <c r="O49" s="1144"/>
      <c r="P49" s="3183" t="str">
        <f>A49</f>
        <v>估价对象公寓用房的比较价值（楼面单价，元/平方米）</v>
      </c>
      <c r="Q49" s="3184"/>
      <c r="R49" s="3229">
        <f>IF(F1="售价",ROUND(AVERAGE(R48:V48),0),ROUND(AVERAGE(R48:V48),1))</f>
        <v>10773</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7.7874484654145704E-3</v>
      </c>
      <c r="F52" s="500" t="str">
        <f>IF(OR(E52&gt;=0.3,E52&lt;=-0.3),"超过30%","")</f>
        <v/>
      </c>
      <c r="G52" s="499">
        <f>IF(G47&lt;G48,G48/G47-1,G47/G48-1)</f>
        <v>1.1363636363636465E-2</v>
      </c>
      <c r="H52" s="500" t="str">
        <f>IF(OR(G52&gt;=0.3,G52&lt;=-0.3),"超过30%","")</f>
        <v/>
      </c>
      <c r="I52" s="499">
        <f>IF(I47&lt;I48,I48/I47-1,I47/I48-1)</f>
        <v>7.0143010020430108E-2</v>
      </c>
      <c r="J52" s="500" t="str">
        <f>IF(OR(I52&gt;=0.3,I52&lt;=-0.3),"超过30%","")</f>
        <v/>
      </c>
      <c r="K52" s="1105"/>
      <c r="L52" s="1106"/>
      <c r="M52" s="1144"/>
      <c r="N52" s="1144"/>
      <c r="O52" s="1144"/>
    </row>
    <row r="53" spans="1:29" ht="13.5" customHeight="1">
      <c r="A53" s="1144"/>
      <c r="B53" s="1144"/>
      <c r="C53" s="497" t="s">
        <v>2530</v>
      </c>
      <c r="D53" s="501"/>
      <c r="E53" s="499">
        <f>IF(E48&lt;G48,G48/E48-1,E48/G48-1)</f>
        <v>1.9239578561612403E-2</v>
      </c>
      <c r="F53" s="500" t="str">
        <f>IF(OR(E53&gt;=0.2,E53&lt;=-0.2),"超过20%","")</f>
        <v/>
      </c>
      <c r="G53" s="499">
        <f>IF(G48&lt;I48,I48/G48-1,G48/I48-1)</f>
        <v>8.2303726043389425E-2</v>
      </c>
      <c r="H53" s="500" t="str">
        <f>IF(OR(G53&gt;=0.2,G53&lt;=-0.2),"超过20%","")</f>
        <v/>
      </c>
      <c r="I53" s="499">
        <f>IF(I48&lt;E48,E48/I48-1,I48/E48-1)</f>
        <v>6.1873723124817648E-2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2020-2</v>
      </c>
      <c r="D58" s="1574">
        <f>EDATE(C58,-1)</f>
        <v>43831</v>
      </c>
      <c r="E58" s="1574">
        <f>EDATE(D58,-1)</f>
        <v>43800</v>
      </c>
      <c r="F58" s="1574">
        <f t="shared" ref="F58:O58" si="19">EDATE(E58,-1)</f>
        <v>43770</v>
      </c>
      <c r="G58" s="1574">
        <f t="shared" si="19"/>
        <v>43739</v>
      </c>
      <c r="H58" s="1574">
        <f t="shared" si="19"/>
        <v>43709</v>
      </c>
      <c r="I58" s="1574">
        <f t="shared" si="19"/>
        <v>43678</v>
      </c>
      <c r="J58" s="1574">
        <f t="shared" si="19"/>
        <v>43647</v>
      </c>
      <c r="K58" s="1574">
        <f t="shared" si="19"/>
        <v>43617</v>
      </c>
      <c r="L58" s="1574">
        <f t="shared" si="19"/>
        <v>43586</v>
      </c>
      <c r="M58" s="1574">
        <f t="shared" si="19"/>
        <v>43556</v>
      </c>
      <c r="N58" s="1574">
        <f t="shared" si="19"/>
        <v>43525</v>
      </c>
      <c r="O58" s="1574">
        <f t="shared" si="19"/>
        <v>43497</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3317</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3317</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3352</v>
      </c>
      <c r="D100" s="2954" t="s">
        <v>3354</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3321</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3323</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3325</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3327</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3284</v>
      </c>
      <c r="D116" s="554" t="s">
        <v>3285</v>
      </c>
      <c r="E116" s="554" t="s">
        <v>3286</v>
      </c>
      <c r="F116" s="554" t="s">
        <v>3287</v>
      </c>
      <c r="G116" s="554" t="s">
        <v>3288</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3317</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3317</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3325</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3344</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11970</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6" t="s">
        <v>2486</v>
      </c>
      <c r="D4" s="3199"/>
      <c r="E4" s="3200" t="s">
        <v>2487</v>
      </c>
      <c r="F4" s="3201"/>
      <c r="G4" s="3186" t="s">
        <v>2488</v>
      </c>
      <c r="H4" s="3199"/>
      <c r="I4" s="3186" t="s">
        <v>2489</v>
      </c>
      <c r="J4" s="3199"/>
      <c r="K4" s="2595" t="s">
        <v>2490</v>
      </c>
      <c r="L4" s="1130"/>
      <c r="M4" s="1131"/>
      <c r="N4" s="1131"/>
      <c r="O4" s="1131"/>
      <c r="P4" s="3202" t="s">
        <v>2491</v>
      </c>
      <c r="Q4" s="3203"/>
      <c r="R4" s="3208" t="s">
        <v>2487</v>
      </c>
      <c r="S4" s="3209"/>
      <c r="T4" s="3208" t="s">
        <v>2488</v>
      </c>
      <c r="U4" s="3209"/>
      <c r="V4" s="3195" t="s">
        <v>2489</v>
      </c>
      <c r="W4" s="3195"/>
      <c r="X4" s="2979"/>
      <c r="Y4" s="3208" t="s">
        <v>2491</v>
      </c>
      <c r="Z4" s="3209"/>
      <c r="AA4" s="3196" t="s">
        <v>2487</v>
      </c>
      <c r="AB4" s="3196" t="s">
        <v>2488</v>
      </c>
      <c r="AC4" s="3196" t="s">
        <v>2489</v>
      </c>
    </row>
    <row r="5" spans="1:29" ht="15">
      <c r="A5" s="404"/>
      <c r="B5" s="405"/>
      <c r="C5" s="3237" t="s">
        <v>3316</v>
      </c>
      <c r="D5" s="3217"/>
      <c r="E5" s="3238" t="s">
        <v>3357</v>
      </c>
      <c r="F5" s="3225"/>
      <c r="G5" s="3237" t="s">
        <v>3358</v>
      </c>
      <c r="H5" s="3217"/>
      <c r="I5" s="3237" t="s">
        <v>3329</v>
      </c>
      <c r="J5" s="3217"/>
      <c r="K5" s="2596"/>
      <c r="L5" s="1130"/>
      <c r="M5" s="1131"/>
      <c r="N5" s="1131"/>
      <c r="O5" s="1131"/>
      <c r="P5" s="3204"/>
      <c r="Q5" s="3205"/>
      <c r="R5" s="3210"/>
      <c r="S5" s="3211"/>
      <c r="T5" s="3210"/>
      <c r="U5" s="3211"/>
      <c r="V5" s="3195"/>
      <c r="W5" s="3195"/>
      <c r="X5" s="2979"/>
      <c r="Y5" s="3210"/>
      <c r="Z5" s="3211"/>
      <c r="AA5" s="3197"/>
      <c r="AB5" s="3197"/>
      <c r="AC5" s="3197"/>
    </row>
    <row r="6" spans="1:29" ht="15.75" thickBot="1">
      <c r="A6" s="406"/>
      <c r="B6" s="407"/>
      <c r="C6" s="3214" t="s">
        <v>2496</v>
      </c>
      <c r="D6" s="3215"/>
      <c r="E6" s="3222" t="s">
        <v>2496</v>
      </c>
      <c r="F6" s="3223"/>
      <c r="G6" s="3214" t="s">
        <v>2496</v>
      </c>
      <c r="H6" s="3215"/>
      <c r="I6" s="3214" t="s">
        <v>2496</v>
      </c>
      <c r="J6" s="3215"/>
      <c r="K6" s="2596" t="s">
        <v>2497</v>
      </c>
      <c r="L6" s="1130"/>
      <c r="M6" s="1131"/>
      <c r="N6" s="1131"/>
      <c r="O6" s="1131"/>
      <c r="P6" s="3206"/>
      <c r="Q6" s="3207"/>
      <c r="R6" s="3210"/>
      <c r="S6" s="3211"/>
      <c r="T6" s="3212"/>
      <c r="U6" s="3213"/>
      <c r="V6" s="3195"/>
      <c r="W6" s="3195"/>
      <c r="X6" s="2979"/>
      <c r="Y6" s="3212"/>
      <c r="Z6" s="3213"/>
      <c r="AA6" s="3198"/>
      <c r="AB6" s="3198"/>
      <c r="AC6" s="3198"/>
    </row>
    <row r="7" spans="1:29" s="117" customFormat="1" ht="15.75" thickBot="1">
      <c r="A7" s="408" t="s">
        <v>2498</v>
      </c>
      <c r="B7" s="409"/>
      <c r="C7" s="410">
        <f>'数据-取费表'!B2</f>
        <v>43871</v>
      </c>
      <c r="D7" s="411">
        <v>100</v>
      </c>
      <c r="E7" s="412">
        <f>C7</f>
        <v>43871</v>
      </c>
      <c r="F7" s="413">
        <f>SUMIF(58:58,YEAR(E7)&amp;"-"&amp;MONTH(E7),59:59)</f>
        <v>100</v>
      </c>
      <c r="G7" s="412">
        <f>C7</f>
        <v>43871</v>
      </c>
      <c r="H7" s="411">
        <f>SUMIF(58:58,YEAR(G7)&amp;"-"&amp;MONTH(G7),59:59)</f>
        <v>100</v>
      </c>
      <c r="I7" s="412">
        <f>C7</f>
        <v>43871</v>
      </c>
      <c r="J7" s="411">
        <f>SUMIF(58:58,YEAR(I7)&amp;"-"&amp;MONTH(I7),59:59)</f>
        <v>100</v>
      </c>
      <c r="K7" s="2597"/>
      <c r="L7" s="1132"/>
      <c r="M7" s="1133"/>
      <c r="N7" s="1133"/>
      <c r="O7" s="1133"/>
      <c r="P7" s="3218" t="s">
        <v>2499</v>
      </c>
      <c r="Q7" s="3220"/>
      <c r="R7" s="770" t="s">
        <v>23</v>
      </c>
      <c r="S7" s="771">
        <f t="shared" ref="S7:S15" si="0">F7</f>
        <v>100</v>
      </c>
      <c r="T7" s="770" t="s">
        <v>23</v>
      </c>
      <c r="U7" s="771">
        <f t="shared" ref="U7:U15" si="1">H7</f>
        <v>100</v>
      </c>
      <c r="V7" s="770" t="s">
        <v>23</v>
      </c>
      <c r="W7" s="771">
        <f t="shared" ref="W7:W15" si="2">J7</f>
        <v>100</v>
      </c>
      <c r="X7" s="772"/>
      <c r="Y7" s="3218" t="s">
        <v>2499</v>
      </c>
      <c r="Z7" s="3219"/>
      <c r="AA7" s="773">
        <f>D7/F7</f>
        <v>1</v>
      </c>
      <c r="AB7" s="773">
        <f>D7/H7</f>
        <v>1</v>
      </c>
      <c r="AC7" s="773">
        <f>D7/J7</f>
        <v>1</v>
      </c>
    </row>
    <row r="8" spans="1:29" s="117" customFormat="1" ht="15.75" thickBot="1">
      <c r="A8" s="408" t="s">
        <v>2500</v>
      </c>
      <c r="B8" s="409"/>
      <c r="C8" s="414" t="s">
        <v>2501</v>
      </c>
      <c r="D8" s="411">
        <v>100</v>
      </c>
      <c r="E8" s="2598" t="s">
        <v>3289</v>
      </c>
      <c r="F8" s="413">
        <f>SUMIF(61:61,E8,62:62)-SUMIF(61:61,C8,62:62)+100</f>
        <v>100</v>
      </c>
      <c r="G8" s="2598" t="s">
        <v>3289</v>
      </c>
      <c r="H8" s="411">
        <f>SUMIF(61:61,G8,62:62)-SUMIF(61:61,C8,62:62)+100</f>
        <v>100</v>
      </c>
      <c r="I8" s="2598" t="s">
        <v>3289</v>
      </c>
      <c r="J8" s="411">
        <f>SUMIF(61:61,I8,62:62)-SUMIF(61:61,C8,62:62)+100</f>
        <v>100</v>
      </c>
      <c r="K8" s="2597"/>
      <c r="L8" s="1132"/>
      <c r="M8" s="1133"/>
      <c r="N8" s="1133"/>
      <c r="O8" s="1133"/>
      <c r="P8" s="3218" t="s">
        <v>2502</v>
      </c>
      <c r="Q8" s="3219"/>
      <c r="R8" s="770" t="s">
        <v>23</v>
      </c>
      <c r="S8" s="771">
        <f t="shared" si="0"/>
        <v>100</v>
      </c>
      <c r="T8" s="770" t="s">
        <v>23</v>
      </c>
      <c r="U8" s="771">
        <f t="shared" si="1"/>
        <v>100</v>
      </c>
      <c r="V8" s="770" t="s">
        <v>23</v>
      </c>
      <c r="W8" s="771">
        <f t="shared" si="2"/>
        <v>100</v>
      </c>
      <c r="X8" s="772"/>
      <c r="Y8" s="3218" t="s">
        <v>2502</v>
      </c>
      <c r="Z8" s="3219"/>
      <c r="AA8" s="773">
        <f t="shared" ref="AA8:AA19" si="3">D8/F8</f>
        <v>1</v>
      </c>
      <c r="AB8" s="773">
        <f t="shared" ref="AB8:AB19" si="4">D8/H8</f>
        <v>1</v>
      </c>
      <c r="AC8" s="773">
        <f t="shared" ref="AC8:AC19" si="5">D8/J8</f>
        <v>1</v>
      </c>
    </row>
    <row r="9" spans="1:29" s="117" customFormat="1">
      <c r="A9" s="415" t="s">
        <v>2503</v>
      </c>
      <c r="B9" s="71" t="s">
        <v>2504</v>
      </c>
      <c r="C9" s="2964" t="s">
        <v>3320</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8" t="s">
        <v>2505</v>
      </c>
      <c r="Q9" s="2965" t="str">
        <f t="shared" ref="Q9:Q15" si="6">B9</f>
        <v>用途</v>
      </c>
      <c r="R9" s="770" t="s">
        <v>17</v>
      </c>
      <c r="S9" s="771">
        <f t="shared" si="0"/>
        <v>100</v>
      </c>
      <c r="T9" s="770" t="s">
        <v>17</v>
      </c>
      <c r="U9" s="771">
        <f t="shared" si="1"/>
        <v>100</v>
      </c>
      <c r="V9" s="770" t="s">
        <v>17</v>
      </c>
      <c r="W9" s="771">
        <f t="shared" si="2"/>
        <v>100</v>
      </c>
      <c r="X9" s="772"/>
      <c r="Y9" s="3040" t="s">
        <v>2506</v>
      </c>
      <c r="Z9" s="2966" t="str">
        <f t="shared" ref="Z9:Z15" si="7">Q9</f>
        <v>用途</v>
      </c>
      <c r="AA9" s="773">
        <f t="shared" si="3"/>
        <v>1</v>
      </c>
      <c r="AB9" s="773">
        <f t="shared" si="4"/>
        <v>1</v>
      </c>
      <c r="AC9" s="773">
        <f t="shared" si="5"/>
        <v>1</v>
      </c>
    </row>
    <row r="10" spans="1:29" s="427" customFormat="1" ht="27">
      <c r="A10" s="421"/>
      <c r="B10" s="2971" t="s">
        <v>2507</v>
      </c>
      <c r="C10" s="423" t="s">
        <v>3319</v>
      </c>
      <c r="D10" s="136">
        <v>100</v>
      </c>
      <c r="E10" s="424" t="s">
        <v>3319</v>
      </c>
      <c r="F10" s="425">
        <f>SUMIF(65:65,E10,66:66)-SUMIF(65:65,C10,66:66)+100</f>
        <v>100</v>
      </c>
      <c r="G10" s="424" t="s">
        <v>3319</v>
      </c>
      <c r="H10" s="136">
        <f>SUMIF(65:65,G10,66:66)-SUMIF(65:65,C10,66:66)+100</f>
        <v>100</v>
      </c>
      <c r="I10" s="424" t="s">
        <v>3319</v>
      </c>
      <c r="J10" s="136">
        <f>SUMIF(65:65,I10,66:66)-SUMIF(65:65,C10,66:66)+100</f>
        <v>100</v>
      </c>
      <c r="K10" s="426">
        <v>1</v>
      </c>
      <c r="L10" s="1135"/>
      <c r="M10" s="1136"/>
      <c r="N10" s="1136"/>
      <c r="O10" s="1136"/>
      <c r="P10" s="3188"/>
      <c r="Q10" s="2965" t="str">
        <f t="shared" si="6"/>
        <v>土地使用年限（年）</v>
      </c>
      <c r="R10" s="770" t="s">
        <v>17</v>
      </c>
      <c r="S10" s="771">
        <f t="shared" si="0"/>
        <v>100</v>
      </c>
      <c r="T10" s="770" t="s">
        <v>17</v>
      </c>
      <c r="U10" s="771">
        <f t="shared" si="1"/>
        <v>100</v>
      </c>
      <c r="V10" s="770" t="s">
        <v>17</v>
      </c>
      <c r="W10" s="771">
        <f t="shared" si="2"/>
        <v>100</v>
      </c>
      <c r="X10" s="772"/>
      <c r="Y10" s="3040"/>
      <c r="Z10" s="2966" t="str">
        <f t="shared" si="7"/>
        <v>土地使用年限（年）</v>
      </c>
      <c r="AA10" s="773">
        <f t="shared" si="3"/>
        <v>1</v>
      </c>
      <c r="AB10" s="773">
        <f t="shared" si="4"/>
        <v>1</v>
      </c>
      <c r="AC10" s="773">
        <f t="shared" si="5"/>
        <v>1</v>
      </c>
    </row>
    <row r="11" spans="1:29" ht="15">
      <c r="A11" s="428"/>
      <c r="B11" s="2971" t="s">
        <v>2508</v>
      </c>
      <c r="C11" s="429">
        <f>'数据-汇总表'!I4</f>
        <v>1.66</v>
      </c>
      <c r="D11" s="136">
        <v>100</v>
      </c>
      <c r="E11" s="430">
        <v>6.17</v>
      </c>
      <c r="F11" s="425">
        <f>LOOKUP(E11,68:68,69:69)-LOOKUP(C11,68:68,69:69)+100</f>
        <v>95</v>
      </c>
      <c r="G11" s="430">
        <v>5.5</v>
      </c>
      <c r="H11" s="136">
        <f>LOOKUP(G11,68:68,69:69)-LOOKUP(C11,68:68,69:69)+100</f>
        <v>96</v>
      </c>
      <c r="I11" s="430">
        <v>3.6</v>
      </c>
      <c r="J11" s="136">
        <f>LOOKUP(I11,68:68,69:69)-LOOKUP(C11,68:68,69:69)+100</f>
        <v>98</v>
      </c>
      <c r="K11" s="426">
        <v>1</v>
      </c>
      <c r="L11" s="1138"/>
      <c r="M11" s="1131"/>
      <c r="N11" s="1131"/>
      <c r="O11" s="1131"/>
      <c r="P11" s="3188"/>
      <c r="Q11" s="2965" t="str">
        <f t="shared" si="6"/>
        <v>容积率</v>
      </c>
      <c r="R11" s="770" t="s">
        <v>21</v>
      </c>
      <c r="S11" s="771">
        <f t="shared" si="0"/>
        <v>95</v>
      </c>
      <c r="T11" s="770" t="s">
        <v>21</v>
      </c>
      <c r="U11" s="771">
        <f t="shared" si="1"/>
        <v>96</v>
      </c>
      <c r="V11" s="770" t="s">
        <v>21</v>
      </c>
      <c r="W11" s="771">
        <f t="shared" si="2"/>
        <v>98</v>
      </c>
      <c r="X11" s="772"/>
      <c r="Y11" s="3040"/>
      <c r="Z11" s="2966" t="str">
        <f t="shared" si="7"/>
        <v>容积率</v>
      </c>
      <c r="AA11" s="773">
        <f t="shared" si="3"/>
        <v>1.0526315789473684</v>
      </c>
      <c r="AB11" s="773">
        <f t="shared" si="4"/>
        <v>1.0416666666666667</v>
      </c>
      <c r="AC11" s="773">
        <f t="shared" si="5"/>
        <v>1.0204081632653061</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8"/>
      <c r="Q12" s="2965">
        <f t="shared" si="6"/>
        <v>0</v>
      </c>
      <c r="R12" s="770" t="s">
        <v>21</v>
      </c>
      <c r="S12" s="771">
        <f t="shared" si="0"/>
        <v>100</v>
      </c>
      <c r="T12" s="770" t="s">
        <v>21</v>
      </c>
      <c r="U12" s="771">
        <f t="shared" si="1"/>
        <v>100</v>
      </c>
      <c r="V12" s="770" t="s">
        <v>21</v>
      </c>
      <c r="W12" s="771">
        <f t="shared" si="2"/>
        <v>100</v>
      </c>
      <c r="X12" s="772"/>
      <c r="Y12" s="3040"/>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8"/>
      <c r="Q13" s="2965">
        <f t="shared" si="6"/>
        <v>0</v>
      </c>
      <c r="R13" s="770" t="s">
        <v>21</v>
      </c>
      <c r="S13" s="771">
        <f t="shared" si="0"/>
        <v>100</v>
      </c>
      <c r="T13" s="770" t="s">
        <v>21</v>
      </c>
      <c r="U13" s="771">
        <f t="shared" si="1"/>
        <v>100</v>
      </c>
      <c r="V13" s="770" t="s">
        <v>21</v>
      </c>
      <c r="W13" s="771">
        <f t="shared" si="2"/>
        <v>100</v>
      </c>
      <c r="X13" s="772"/>
      <c r="Y13" s="3040"/>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8"/>
      <c r="Q14" s="2965">
        <f t="shared" si="6"/>
        <v>0</v>
      </c>
      <c r="R14" s="770" t="s">
        <v>21</v>
      </c>
      <c r="S14" s="771">
        <f t="shared" si="0"/>
        <v>100</v>
      </c>
      <c r="T14" s="770" t="s">
        <v>21</v>
      </c>
      <c r="U14" s="771">
        <f t="shared" si="1"/>
        <v>100</v>
      </c>
      <c r="V14" s="770" t="s">
        <v>21</v>
      </c>
      <c r="W14" s="771">
        <f t="shared" si="2"/>
        <v>100</v>
      </c>
      <c r="X14" s="772"/>
      <c r="Y14" s="3040"/>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3291</v>
      </c>
      <c r="F15" s="441">
        <f>SUMIF(76:76,E16,77:77)-SUMIF(76:76,C16,77:77)+100</f>
        <v>100</v>
      </c>
      <c r="G15" s="444" t="s">
        <v>3291</v>
      </c>
      <c r="H15" s="441">
        <f>SUMIF(76:76,G16,77:77)-SUMIF(76:76,C16,77:77)+100</f>
        <v>100</v>
      </c>
      <c r="I15" s="444" t="s">
        <v>3291</v>
      </c>
      <c r="J15" s="441">
        <f>SUMIF(76:76,I16,77:77)-SUMIF(76:76,C16,77:77)+100</f>
        <v>100</v>
      </c>
      <c r="K15" s="445">
        <v>2</v>
      </c>
      <c r="L15" s="1140"/>
      <c r="M15" s="1131"/>
      <c r="N15" s="1131"/>
      <c r="O15" s="1131"/>
      <c r="P15" s="3235" t="s">
        <v>2510</v>
      </c>
      <c r="Q15" s="2977" t="str">
        <f t="shared" si="6"/>
        <v>居住社区成熟度</v>
      </c>
      <c r="R15" s="774" t="s">
        <v>21</v>
      </c>
      <c r="S15" s="775">
        <f t="shared" si="0"/>
        <v>100</v>
      </c>
      <c r="T15" s="774" t="s">
        <v>21</v>
      </c>
      <c r="U15" s="775">
        <f t="shared" si="1"/>
        <v>100</v>
      </c>
      <c r="V15" s="774" t="s">
        <v>21</v>
      </c>
      <c r="W15" s="775">
        <f t="shared" si="2"/>
        <v>100</v>
      </c>
      <c r="X15" s="2979"/>
      <c r="Y15" s="3191" t="s">
        <v>2510</v>
      </c>
      <c r="Z15" s="2978" t="str">
        <f t="shared" si="7"/>
        <v>居住社区成熟度</v>
      </c>
      <c r="AA15" s="2980">
        <f t="shared" si="3"/>
        <v>1</v>
      </c>
      <c r="AB15" s="2980">
        <f t="shared" si="4"/>
        <v>1</v>
      </c>
      <c r="AC15" s="2980">
        <f t="shared" si="5"/>
        <v>1</v>
      </c>
    </row>
    <row r="16" spans="1:29" ht="15">
      <c r="A16" s="428"/>
      <c r="B16" s="446"/>
      <c r="C16" s="447" t="s">
        <v>3306</v>
      </c>
      <c r="D16" s="448"/>
      <c r="E16" s="2603" t="s">
        <v>3306</v>
      </c>
      <c r="F16" s="448"/>
      <c r="G16" s="2603" t="s">
        <v>3306</v>
      </c>
      <c r="H16" s="450"/>
      <c r="I16" s="2603" t="s">
        <v>3306</v>
      </c>
      <c r="J16" s="448"/>
      <c r="K16" s="2605"/>
      <c r="L16" s="1140"/>
      <c r="M16" s="1131"/>
      <c r="N16" s="1131"/>
      <c r="O16" s="1131"/>
      <c r="P16" s="3236"/>
      <c r="Q16" s="2977"/>
      <c r="R16" s="774"/>
      <c r="S16" s="775"/>
      <c r="T16" s="774"/>
      <c r="U16" s="775"/>
      <c r="V16" s="774"/>
      <c r="W16" s="775"/>
      <c r="X16" s="2979"/>
      <c r="Y16" s="3192"/>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3359</v>
      </c>
      <c r="F17" s="450">
        <f>SUMIF(78:78,E18,79:79)-SUMIF(78:78,C18,79:79)+100</f>
        <v>104</v>
      </c>
      <c r="G17" s="2961" t="s">
        <v>3328</v>
      </c>
      <c r="H17" s="455">
        <f>SUMIF(78:78,G18,79:79)-SUMIF(78:78,C18,79:79)+100</f>
        <v>100</v>
      </c>
      <c r="I17" s="2961" t="s">
        <v>3330</v>
      </c>
      <c r="J17" s="455">
        <f>SUMIF(78:78,I18,79:79)-SUMIF(78:78,C18,79:79)+100</f>
        <v>104</v>
      </c>
      <c r="K17" s="445">
        <v>4</v>
      </c>
      <c r="L17" s="1140"/>
      <c r="M17" s="1131"/>
      <c r="N17" s="1131"/>
      <c r="O17" s="1131"/>
      <c r="P17" s="3236"/>
      <c r="Q17" s="2977" t="str">
        <f>B17</f>
        <v>交通便捷度</v>
      </c>
      <c r="R17" s="774" t="s">
        <v>21</v>
      </c>
      <c r="S17" s="775">
        <f>F17</f>
        <v>104</v>
      </c>
      <c r="T17" s="774" t="s">
        <v>21</v>
      </c>
      <c r="U17" s="775">
        <f>H17</f>
        <v>100</v>
      </c>
      <c r="V17" s="774" t="s">
        <v>21</v>
      </c>
      <c r="W17" s="775">
        <f>J17</f>
        <v>104</v>
      </c>
      <c r="X17" s="2979"/>
      <c r="Y17" s="3192"/>
      <c r="Z17" s="2978" t="str">
        <f>Q17</f>
        <v>交通便捷度</v>
      </c>
      <c r="AA17" s="2980">
        <f t="shared" si="3"/>
        <v>0.96153846153846156</v>
      </c>
      <c r="AB17" s="2980">
        <f t="shared" si="4"/>
        <v>1</v>
      </c>
      <c r="AC17" s="2980">
        <f t="shared" si="5"/>
        <v>0.96153846153846156</v>
      </c>
    </row>
    <row r="18" spans="1:29" ht="15">
      <c r="A18" s="428"/>
      <c r="B18" s="456"/>
      <c r="C18" s="2607" t="s">
        <v>3306</v>
      </c>
      <c r="D18" s="450"/>
      <c r="E18" s="2608" t="s">
        <v>3282</v>
      </c>
      <c r="F18" s="450"/>
      <c r="G18" s="2608" t="s">
        <v>3306</v>
      </c>
      <c r="H18" s="448"/>
      <c r="I18" s="2608" t="s">
        <v>3282</v>
      </c>
      <c r="J18" s="448"/>
      <c r="K18" s="2605"/>
      <c r="L18" s="1140"/>
      <c r="M18" s="1131"/>
      <c r="N18" s="1131"/>
      <c r="O18" s="1131"/>
      <c r="P18" s="3236"/>
      <c r="Q18" s="2977"/>
      <c r="R18" s="774"/>
      <c r="S18" s="775"/>
      <c r="T18" s="774"/>
      <c r="U18" s="775"/>
      <c r="V18" s="774"/>
      <c r="W18" s="775"/>
      <c r="X18" s="2979"/>
      <c r="Y18" s="3192"/>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3296</v>
      </c>
      <c r="F19" s="455">
        <f>SUMIF(80:80,E20,81:81)-SUMIF(80:80,C20,81:81)+100</f>
        <v>100</v>
      </c>
      <c r="G19" s="459" t="s">
        <v>3296</v>
      </c>
      <c r="H19" s="450">
        <f>SUMIF(80:80,G20,81:81)-SUMIF(80:80,C20,81:81)+100</f>
        <v>100</v>
      </c>
      <c r="I19" s="2981" t="s">
        <v>3332</v>
      </c>
      <c r="J19" s="450">
        <f>SUMIF(80:80,I20,81:81)-SUMIF(80:80,C20,81:81)+100</f>
        <v>100</v>
      </c>
      <c r="K19" s="445">
        <v>1</v>
      </c>
      <c r="L19" s="1140"/>
      <c r="M19" s="1131"/>
      <c r="N19" s="1131"/>
      <c r="O19" s="1131"/>
      <c r="P19" s="3236"/>
      <c r="Q19" s="2977" t="str">
        <f>B19</f>
        <v>公共配套设施</v>
      </c>
      <c r="R19" s="774" t="s">
        <v>21</v>
      </c>
      <c r="S19" s="775">
        <f>F19</f>
        <v>100</v>
      </c>
      <c r="T19" s="774" t="s">
        <v>21</v>
      </c>
      <c r="U19" s="775">
        <f>H19</f>
        <v>100</v>
      </c>
      <c r="V19" s="774" t="s">
        <v>21</v>
      </c>
      <c r="W19" s="775">
        <f>J19</f>
        <v>100</v>
      </c>
      <c r="X19" s="2979"/>
      <c r="Y19" s="3192"/>
      <c r="Z19" s="2978" t="str">
        <f>Q19</f>
        <v>公共配套设施</v>
      </c>
      <c r="AA19" s="2980">
        <f t="shared" si="3"/>
        <v>1</v>
      </c>
      <c r="AB19" s="2980">
        <f t="shared" si="4"/>
        <v>1</v>
      </c>
      <c r="AC19" s="2980">
        <f t="shared" si="5"/>
        <v>1</v>
      </c>
    </row>
    <row r="20" spans="1:29" ht="15">
      <c r="A20" s="428"/>
      <c r="B20" s="456"/>
      <c r="C20" s="447" t="s">
        <v>3306</v>
      </c>
      <c r="D20" s="448"/>
      <c r="E20" s="2603" t="s">
        <v>3306</v>
      </c>
      <c r="F20" s="448"/>
      <c r="G20" s="2603" t="s">
        <v>3306</v>
      </c>
      <c r="H20" s="448"/>
      <c r="I20" s="2603" t="s">
        <v>3306</v>
      </c>
      <c r="J20" s="448"/>
      <c r="K20" s="2605"/>
      <c r="L20" s="1140"/>
      <c r="M20" s="1131"/>
      <c r="N20" s="1131"/>
      <c r="O20" s="1131"/>
      <c r="P20" s="3236"/>
      <c r="Q20" s="2977"/>
      <c r="R20" s="774"/>
      <c r="S20" s="775"/>
      <c r="T20" s="774"/>
      <c r="U20" s="775"/>
      <c r="V20" s="774"/>
      <c r="W20" s="775"/>
      <c r="X20" s="2979"/>
      <c r="Y20" s="3192"/>
      <c r="Z20" s="2978"/>
      <c r="AA20" s="2980">
        <v>1</v>
      </c>
      <c r="AB20" s="2980">
        <v>1</v>
      </c>
      <c r="AC20" s="2980">
        <v>1</v>
      </c>
    </row>
    <row r="21" spans="1:29" ht="42.75">
      <c r="A21" s="428"/>
      <c r="B21" s="1384" t="s">
        <v>2053</v>
      </c>
      <c r="C21" s="2606" t="str">
        <f>估价对象房地状况!C8</f>
        <v>估价对象所在区域基础设施水平较好</v>
      </c>
      <c r="D21" s="450">
        <v>100</v>
      </c>
      <c r="E21" s="459" t="s">
        <v>3298</v>
      </c>
      <c r="F21" s="455">
        <f>SUMIF(82:82,E22,83:83)-SUMIF(82:82,C22,83:83)+100</f>
        <v>100</v>
      </c>
      <c r="G21" s="459" t="s">
        <v>3298</v>
      </c>
      <c r="H21" s="450">
        <f>SUMIF(82:82,G22,83:83)-SUMIF(82:82,C22,83:83)+100</f>
        <v>100</v>
      </c>
      <c r="I21" s="459" t="s">
        <v>3298</v>
      </c>
      <c r="J21" s="450">
        <f>SUMIF(82:82,I22,83:83)-SUMIF(82:82,C22,83:83)+100</f>
        <v>100</v>
      </c>
      <c r="K21" s="445">
        <v>1</v>
      </c>
      <c r="L21" s="1140"/>
      <c r="M21" s="1131"/>
      <c r="N21" s="1131"/>
      <c r="O21" s="1131"/>
      <c r="P21" s="3236"/>
      <c r="Q21" s="2977" t="str">
        <f>B21</f>
        <v>基础设施水平</v>
      </c>
      <c r="R21" s="774" t="s">
        <v>17</v>
      </c>
      <c r="S21" s="775">
        <f>F21</f>
        <v>100</v>
      </c>
      <c r="T21" s="774" t="s">
        <v>17</v>
      </c>
      <c r="U21" s="775">
        <f>H21</f>
        <v>100</v>
      </c>
      <c r="V21" s="774" t="s">
        <v>17</v>
      </c>
      <c r="W21" s="775">
        <f>J21</f>
        <v>100</v>
      </c>
      <c r="X21" s="2979"/>
      <c r="Y21" s="3192"/>
      <c r="Z21" s="2978" t="str">
        <f>Q21</f>
        <v>基础设施水平</v>
      </c>
      <c r="AA21" s="2980">
        <f t="shared" ref="AA21" si="8">D21/F21</f>
        <v>1</v>
      </c>
      <c r="AB21" s="2980">
        <f t="shared" ref="AB21" si="9">D21/H21</f>
        <v>1</v>
      </c>
      <c r="AC21" s="2980">
        <f t="shared" ref="AC21" si="10">D21/J21</f>
        <v>1</v>
      </c>
    </row>
    <row r="22" spans="1:29" ht="15">
      <c r="A22" s="428"/>
      <c r="B22" s="1384"/>
      <c r="C22" s="2607" t="s">
        <v>3285</v>
      </c>
      <c r="D22" s="448"/>
      <c r="E22" s="447" t="s">
        <v>3285</v>
      </c>
      <c r="F22" s="448"/>
      <c r="G22" s="447" t="s">
        <v>3285</v>
      </c>
      <c r="H22" s="448"/>
      <c r="I22" s="447" t="s">
        <v>3285</v>
      </c>
      <c r="J22" s="448"/>
      <c r="K22" s="2611"/>
      <c r="L22" s="1140"/>
      <c r="M22" s="1131"/>
      <c r="N22" s="1131"/>
      <c r="O22" s="1131"/>
      <c r="P22" s="3236"/>
      <c r="Q22" s="2977"/>
      <c r="R22" s="774"/>
      <c r="S22" s="775"/>
      <c r="T22" s="774"/>
      <c r="U22" s="775"/>
      <c r="V22" s="774"/>
      <c r="W22" s="775"/>
      <c r="X22" s="2979"/>
      <c r="Y22" s="3192"/>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3300</v>
      </c>
      <c r="F23" s="450">
        <f>SUMIF(84:84,E24,85:85)-SUMIF(84:84,C24,85:85)+100</f>
        <v>100</v>
      </c>
      <c r="G23" s="454" t="s">
        <v>3300</v>
      </c>
      <c r="H23" s="450">
        <f>SUMIF(84:84,G24,85:85)-SUMIF(84:84,C24,85:85)+100</f>
        <v>100</v>
      </c>
      <c r="I23" s="454" t="s">
        <v>3300</v>
      </c>
      <c r="J23" s="450">
        <f>SUMIF(84:84,I24,85:85)-SUMIF(84:84,C24,85:85)+100</f>
        <v>100</v>
      </c>
      <c r="K23" s="445">
        <v>1</v>
      </c>
      <c r="L23" s="1140"/>
      <c r="M23" s="1131"/>
      <c r="N23" s="1131"/>
      <c r="O23" s="1131"/>
      <c r="P23" s="3236"/>
      <c r="Q23" s="2977" t="str">
        <f>B23</f>
        <v>自然及人文环境</v>
      </c>
      <c r="R23" s="774" t="s">
        <v>21</v>
      </c>
      <c r="S23" s="775">
        <f>F23</f>
        <v>100</v>
      </c>
      <c r="T23" s="774" t="s">
        <v>21</v>
      </c>
      <c r="U23" s="775">
        <f>H23</f>
        <v>100</v>
      </c>
      <c r="V23" s="774" t="s">
        <v>21</v>
      </c>
      <c r="W23" s="775">
        <f>J23</f>
        <v>100</v>
      </c>
      <c r="X23" s="2979"/>
      <c r="Y23" s="3192"/>
      <c r="Z23" s="2978" t="str">
        <f>Q23</f>
        <v>自然及人文环境</v>
      </c>
      <c r="AA23" s="2980">
        <f>D23/F23</f>
        <v>1</v>
      </c>
      <c r="AB23" s="2980">
        <f>D23/H23</f>
        <v>1</v>
      </c>
      <c r="AC23" s="2980">
        <f>D23/J23</f>
        <v>1</v>
      </c>
    </row>
    <row r="24" spans="1:29" ht="15">
      <c r="A24" s="428"/>
      <c r="B24" s="456"/>
      <c r="C24" s="447" t="s">
        <v>3282</v>
      </c>
      <c r="D24" s="448"/>
      <c r="E24" s="2603" t="s">
        <v>3282</v>
      </c>
      <c r="F24" s="448"/>
      <c r="G24" s="2603" t="s">
        <v>3282</v>
      </c>
      <c r="H24" s="448"/>
      <c r="I24" s="2603" t="s">
        <v>3282</v>
      </c>
      <c r="J24" s="448"/>
      <c r="K24" s="2605"/>
      <c r="L24" s="1140"/>
      <c r="M24" s="1131"/>
      <c r="N24" s="1131"/>
      <c r="O24" s="1131"/>
      <c r="P24" s="3236"/>
      <c r="Q24" s="2977"/>
      <c r="R24" s="774"/>
      <c r="S24" s="775"/>
      <c r="T24" s="774"/>
      <c r="U24" s="775"/>
      <c r="V24" s="774"/>
      <c r="W24" s="775"/>
      <c r="X24" s="2979"/>
      <c r="Y24" s="3192"/>
      <c r="Z24" s="2978"/>
      <c r="AA24" s="2980">
        <v>1</v>
      </c>
      <c r="AB24" s="2980">
        <v>1</v>
      </c>
      <c r="AC24" s="2980">
        <v>1</v>
      </c>
    </row>
    <row r="25" spans="1:29" ht="15">
      <c r="A25" s="428"/>
      <c r="B25" s="2971" t="s">
        <v>2511</v>
      </c>
      <c r="C25" s="460" t="s">
        <v>3317</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6"/>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92"/>
      <c r="Z25" s="2978" t="str">
        <f>Q25</f>
        <v>楼层-1</v>
      </c>
      <c r="AA25" s="2980">
        <f t="shared" ref="AA25:AA46" si="15">D25/F25</f>
        <v>1</v>
      </c>
      <c r="AB25" s="2980">
        <f t="shared" ref="AB25:AB46" si="16">D25/H25</f>
        <v>1</v>
      </c>
      <c r="AC25" s="2980">
        <f t="shared" ref="AC25:AC46" si="17">D25/J25</f>
        <v>1</v>
      </c>
    </row>
    <row r="26" spans="1:29" ht="15">
      <c r="A26" s="428"/>
      <c r="B26" s="2971" t="s">
        <v>2512</v>
      </c>
      <c r="C26" s="460" t="s">
        <v>3294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6"/>
      <c r="Q26" s="2977" t="str">
        <f t="shared" si="11"/>
        <v>朝向</v>
      </c>
      <c r="R26" s="774" t="s">
        <v>21</v>
      </c>
      <c r="S26" s="775">
        <f t="shared" si="12"/>
        <v>100</v>
      </c>
      <c r="T26" s="774" t="s">
        <v>21</v>
      </c>
      <c r="U26" s="775">
        <f t="shared" si="13"/>
        <v>100</v>
      </c>
      <c r="V26" s="774" t="s">
        <v>21</v>
      </c>
      <c r="W26" s="775">
        <f t="shared" si="14"/>
        <v>100</v>
      </c>
      <c r="X26" s="2979"/>
      <c r="Y26" s="3192"/>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6"/>
      <c r="Q27" s="2965">
        <f t="shared" si="11"/>
        <v>0</v>
      </c>
      <c r="R27" s="770" t="s">
        <v>21</v>
      </c>
      <c r="S27" s="771">
        <f t="shared" si="12"/>
        <v>100</v>
      </c>
      <c r="T27" s="770" t="s">
        <v>21</v>
      </c>
      <c r="U27" s="771">
        <f t="shared" si="13"/>
        <v>100</v>
      </c>
      <c r="V27" s="770" t="s">
        <v>21</v>
      </c>
      <c r="W27" s="771">
        <f t="shared" si="14"/>
        <v>100</v>
      </c>
      <c r="X27" s="772"/>
      <c r="Y27" s="3192"/>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6"/>
      <c r="Q28" s="2977">
        <f t="shared" si="11"/>
        <v>0</v>
      </c>
      <c r="R28" s="774" t="s">
        <v>21</v>
      </c>
      <c r="S28" s="775">
        <f t="shared" si="12"/>
        <v>100</v>
      </c>
      <c r="T28" s="774" t="s">
        <v>21</v>
      </c>
      <c r="U28" s="775">
        <f t="shared" si="13"/>
        <v>100</v>
      </c>
      <c r="V28" s="774" t="s">
        <v>21</v>
      </c>
      <c r="W28" s="775">
        <f t="shared" si="14"/>
        <v>100</v>
      </c>
      <c r="X28" s="2979"/>
      <c r="Y28" s="3192"/>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6"/>
      <c r="Q29" s="2977">
        <f t="shared" si="11"/>
        <v>0</v>
      </c>
      <c r="R29" s="774" t="s">
        <v>21</v>
      </c>
      <c r="S29" s="775">
        <f t="shared" si="12"/>
        <v>100</v>
      </c>
      <c r="T29" s="774" t="s">
        <v>21</v>
      </c>
      <c r="U29" s="775">
        <f t="shared" si="13"/>
        <v>100</v>
      </c>
      <c r="V29" s="774" t="s">
        <v>21</v>
      </c>
      <c r="W29" s="775">
        <f t="shared" si="14"/>
        <v>100</v>
      </c>
      <c r="X29" s="2979"/>
      <c r="Y29" s="3192"/>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6"/>
      <c r="Q30" s="2977">
        <f t="shared" si="11"/>
        <v>0</v>
      </c>
      <c r="R30" s="774" t="s">
        <v>21</v>
      </c>
      <c r="S30" s="775">
        <f t="shared" si="12"/>
        <v>100</v>
      </c>
      <c r="T30" s="774" t="s">
        <v>21</v>
      </c>
      <c r="U30" s="775">
        <f t="shared" si="13"/>
        <v>100</v>
      </c>
      <c r="V30" s="774" t="s">
        <v>21</v>
      </c>
      <c r="W30" s="775">
        <f t="shared" si="14"/>
        <v>100</v>
      </c>
      <c r="X30" s="2979"/>
      <c r="Y30" s="3192"/>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6"/>
      <c r="Q31" s="2977">
        <f t="shared" si="11"/>
        <v>0</v>
      </c>
      <c r="R31" s="774" t="s">
        <v>21</v>
      </c>
      <c r="S31" s="775">
        <f t="shared" si="12"/>
        <v>100</v>
      </c>
      <c r="T31" s="774" t="s">
        <v>21</v>
      </c>
      <c r="U31" s="775">
        <f t="shared" si="13"/>
        <v>100</v>
      </c>
      <c r="V31" s="774" t="s">
        <v>21</v>
      </c>
      <c r="W31" s="775">
        <f t="shared" si="14"/>
        <v>100</v>
      </c>
      <c r="X31" s="2979"/>
      <c r="Y31" s="3192"/>
      <c r="Z31" s="2978">
        <f t="shared" si="18"/>
        <v>0</v>
      </c>
      <c r="AA31" s="2980">
        <f t="shared" si="15"/>
        <v>1</v>
      </c>
      <c r="AB31" s="2980">
        <f t="shared" si="16"/>
        <v>1</v>
      </c>
      <c r="AC31" s="2980">
        <f t="shared" si="17"/>
        <v>1</v>
      </c>
    </row>
    <row r="32" spans="1:29" ht="15">
      <c r="A32" s="440" t="s">
        <v>2513</v>
      </c>
      <c r="B32" s="71" t="s">
        <v>2514</v>
      </c>
      <c r="C32" s="2616" t="s">
        <v>3351</v>
      </c>
      <c r="D32" s="467">
        <v>100</v>
      </c>
      <c r="E32" s="2617" t="s">
        <v>3353</v>
      </c>
      <c r="F32" s="461">
        <f>SUMIF(100:100,E32,101:101)-SUMIF(100:100,C32,101:101)+100</f>
        <v>90</v>
      </c>
      <c r="G32" s="2617" t="s">
        <v>3353</v>
      </c>
      <c r="H32" s="467">
        <f>SUMIF(100:100,G32,101:101)-SUMIF(100:100,C32,101:101)+100</f>
        <v>90</v>
      </c>
      <c r="I32" s="2617" t="s">
        <v>3353</v>
      </c>
      <c r="J32" s="435">
        <f>SUMIF(100:100,I32,101:101)-SUMIF(100:100,C32,101:101)+100</f>
        <v>90</v>
      </c>
      <c r="K32" s="426">
        <v>10</v>
      </c>
      <c r="L32" s="1140"/>
      <c r="M32" s="1131"/>
      <c r="N32" s="1131"/>
      <c r="O32" s="1131"/>
      <c r="P32" s="3231" t="s">
        <v>2515</v>
      </c>
      <c r="Q32" s="2977" t="str">
        <f t="shared" si="11"/>
        <v>建筑类型</v>
      </c>
      <c r="R32" s="774" t="s">
        <v>21</v>
      </c>
      <c r="S32" s="775">
        <f t="shared" si="12"/>
        <v>90</v>
      </c>
      <c r="T32" s="774" t="s">
        <v>21</v>
      </c>
      <c r="U32" s="775">
        <f t="shared" si="13"/>
        <v>90</v>
      </c>
      <c r="V32" s="774" t="s">
        <v>21</v>
      </c>
      <c r="W32" s="775">
        <f t="shared" si="14"/>
        <v>90</v>
      </c>
      <c r="X32" s="2979"/>
      <c r="Y32" s="3194"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19096.05</v>
      </c>
      <c r="D33" s="136">
        <v>100</v>
      </c>
      <c r="E33" s="430">
        <v>82000</v>
      </c>
      <c r="F33" s="425">
        <f>LOOKUP(E33,103:103,104:104)-LOOKUP(C33,103:103,104:104)+100</f>
        <v>102</v>
      </c>
      <c r="G33" s="429">
        <v>135553.28</v>
      </c>
      <c r="H33" s="136">
        <f>LOOKUP(G33,103:103,104:104)-LOOKUP(C33,103:103,104:104)+100</f>
        <v>103</v>
      </c>
      <c r="I33" s="430">
        <v>1400000</v>
      </c>
      <c r="J33" s="136">
        <f>LOOKUP(I33,103:103,104:104)-LOOKUP(C33,103:103,104:104)+100</f>
        <v>105</v>
      </c>
      <c r="K33" s="2600"/>
      <c r="L33" s="1138"/>
      <c r="M33" s="1141"/>
      <c r="N33" s="1141"/>
      <c r="O33" s="1141"/>
      <c r="P33" s="3232"/>
      <c r="Q33" s="776" t="str">
        <f t="shared" si="11"/>
        <v>项目建筑规模</v>
      </c>
      <c r="R33" s="777" t="s">
        <v>21</v>
      </c>
      <c r="S33" s="778">
        <f t="shared" si="12"/>
        <v>102</v>
      </c>
      <c r="T33" s="777" t="s">
        <v>21</v>
      </c>
      <c r="U33" s="778">
        <f t="shared" si="13"/>
        <v>103</v>
      </c>
      <c r="V33" s="777" t="s">
        <v>21</v>
      </c>
      <c r="W33" s="778">
        <f t="shared" si="14"/>
        <v>105</v>
      </c>
      <c r="X33" s="779"/>
      <c r="Y33" s="3194"/>
      <c r="Z33" s="780" t="str">
        <f t="shared" si="18"/>
        <v>项目建筑规模</v>
      </c>
      <c r="AA33" s="2980">
        <f t="shared" si="15"/>
        <v>0.98039215686274506</v>
      </c>
      <c r="AB33" s="2980">
        <f t="shared" si="16"/>
        <v>0.970873786407767</v>
      </c>
      <c r="AC33" s="2980">
        <f t="shared" si="17"/>
        <v>0.95238095238095233</v>
      </c>
    </row>
    <row r="34" spans="1:29" ht="15">
      <c r="A34" s="472"/>
      <c r="B34" s="2971" t="s">
        <v>2517</v>
      </c>
      <c r="C34" s="2618" t="s">
        <v>3314</v>
      </c>
      <c r="D34" s="435">
        <v>100</v>
      </c>
      <c r="E34" s="2619" t="s">
        <v>3314</v>
      </c>
      <c r="F34" s="461">
        <f>SUMIF(105:105,E34,106:106)-SUMIF(105:105,C34,106:106)+100</f>
        <v>100</v>
      </c>
      <c r="G34" s="2619" t="s">
        <v>3314</v>
      </c>
      <c r="H34" s="435">
        <f>SUMIF(105:105,G34,106:106)-SUMIF(105:105,C34,106:106)+100</f>
        <v>100</v>
      </c>
      <c r="I34" s="2619" t="s">
        <v>3314</v>
      </c>
      <c r="J34" s="435">
        <f>SUMIF(105:105,I34,106:106)-SUMIF(105:105,C34,106:106)+100</f>
        <v>100</v>
      </c>
      <c r="K34" s="426">
        <v>1</v>
      </c>
      <c r="L34" s="1140"/>
      <c r="M34" s="1131"/>
      <c r="N34" s="1131"/>
      <c r="O34" s="1131"/>
      <c r="P34" s="3232"/>
      <c r="Q34" s="2977" t="str">
        <f t="shared" si="11"/>
        <v>建筑结构</v>
      </c>
      <c r="R34" s="774" t="s">
        <v>21</v>
      </c>
      <c r="S34" s="775">
        <f t="shared" si="12"/>
        <v>100</v>
      </c>
      <c r="T34" s="774" t="s">
        <v>21</v>
      </c>
      <c r="U34" s="775">
        <f t="shared" si="13"/>
        <v>100</v>
      </c>
      <c r="V34" s="774" t="s">
        <v>21</v>
      </c>
      <c r="W34" s="775">
        <f t="shared" si="14"/>
        <v>100</v>
      </c>
      <c r="X34" s="2979"/>
      <c r="Y34" s="3194"/>
      <c r="Z34" s="2978" t="str">
        <f t="shared" si="18"/>
        <v>建筑结构</v>
      </c>
      <c r="AA34" s="2980">
        <f t="shared" si="15"/>
        <v>1</v>
      </c>
      <c r="AB34" s="2980">
        <f t="shared" si="16"/>
        <v>1</v>
      </c>
      <c r="AC34" s="2980">
        <f t="shared" si="17"/>
        <v>1</v>
      </c>
    </row>
    <row r="35" spans="1:29" ht="15">
      <c r="A35" s="472"/>
      <c r="B35" s="2971" t="s">
        <v>2518</v>
      </c>
      <c r="C35" s="2612" t="s">
        <v>3322</v>
      </c>
      <c r="D35" s="435">
        <v>100</v>
      </c>
      <c r="E35" s="2613" t="s">
        <v>3322</v>
      </c>
      <c r="F35" s="461">
        <f>SUMIF(107:107,E35,108:108)-SUMIF(107:107,C35,108:108)+100</f>
        <v>100</v>
      </c>
      <c r="G35" s="2613" t="s">
        <v>3322</v>
      </c>
      <c r="H35" s="435">
        <f>SUMIF(107:107,G35,108:108)-SUMIF(107:107,C35,108:108)+100</f>
        <v>100</v>
      </c>
      <c r="I35" s="2613" t="s">
        <v>3322</v>
      </c>
      <c r="J35" s="435">
        <f>SUMIF(107:107,I35,108:108)-SUMIF(107:107,C35,108:108)+100</f>
        <v>100</v>
      </c>
      <c r="K35" s="426">
        <v>1</v>
      </c>
      <c r="L35" s="1140"/>
      <c r="M35" s="1131"/>
      <c r="N35" s="1131"/>
      <c r="O35" s="1131"/>
      <c r="P35" s="3232"/>
      <c r="Q35" s="2977" t="str">
        <f t="shared" si="11"/>
        <v>建筑品质</v>
      </c>
      <c r="R35" s="774" t="s">
        <v>21</v>
      </c>
      <c r="S35" s="775">
        <f t="shared" si="12"/>
        <v>100</v>
      </c>
      <c r="T35" s="774" t="s">
        <v>21</v>
      </c>
      <c r="U35" s="775">
        <f t="shared" si="13"/>
        <v>100</v>
      </c>
      <c r="V35" s="774" t="s">
        <v>21</v>
      </c>
      <c r="W35" s="775">
        <f t="shared" si="14"/>
        <v>100</v>
      </c>
      <c r="X35" s="2979"/>
      <c r="Y35" s="3194"/>
      <c r="Z35" s="2978" t="str">
        <f t="shared" si="18"/>
        <v>建筑品质</v>
      </c>
      <c r="AA35" s="2980">
        <f t="shared" si="15"/>
        <v>1</v>
      </c>
      <c r="AB35" s="2980">
        <f t="shared" si="16"/>
        <v>1</v>
      </c>
      <c r="AC35" s="2980">
        <f t="shared" si="17"/>
        <v>1</v>
      </c>
    </row>
    <row r="36" spans="1:29" ht="15">
      <c r="A36" s="472"/>
      <c r="B36" s="2971" t="s">
        <v>2519</v>
      </c>
      <c r="C36" s="2612" t="s">
        <v>3324</v>
      </c>
      <c r="D36" s="435">
        <v>100</v>
      </c>
      <c r="E36" s="2613" t="s">
        <v>3324</v>
      </c>
      <c r="F36" s="461">
        <f>SUMIF(109:109,E36,110:110)-SUMIF(109:109,C36,110:110)+100</f>
        <v>100</v>
      </c>
      <c r="G36" s="2613" t="s">
        <v>3324</v>
      </c>
      <c r="H36" s="435">
        <f>SUMIF(109:109,G36,110:110)-SUMIF(109:109,C36,110:110)+100</f>
        <v>100</v>
      </c>
      <c r="I36" s="2613" t="s">
        <v>3324</v>
      </c>
      <c r="J36" s="435">
        <f>SUMIF(109:109,I36,110:110)-SUMIF(109:109,C36,110:110)+100</f>
        <v>100</v>
      </c>
      <c r="K36" s="426">
        <v>1</v>
      </c>
      <c r="L36" s="1140"/>
      <c r="M36" s="1131"/>
      <c r="N36" s="1131"/>
      <c r="O36" s="1131"/>
      <c r="P36" s="3232"/>
      <c r="Q36" s="2977" t="str">
        <f t="shared" si="11"/>
        <v>公共部分装修</v>
      </c>
      <c r="R36" s="774" t="s">
        <v>21</v>
      </c>
      <c r="S36" s="775">
        <f t="shared" si="12"/>
        <v>100</v>
      </c>
      <c r="T36" s="774" t="s">
        <v>21</v>
      </c>
      <c r="U36" s="775">
        <f t="shared" si="13"/>
        <v>100</v>
      </c>
      <c r="V36" s="774" t="s">
        <v>21</v>
      </c>
      <c r="W36" s="775">
        <f t="shared" si="14"/>
        <v>100</v>
      </c>
      <c r="X36" s="2979"/>
      <c r="Y36" s="3194"/>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2"/>
      <c r="Q37" s="2965" t="str">
        <f t="shared" si="11"/>
        <v>成新度</v>
      </c>
      <c r="R37" s="770" t="s">
        <v>21</v>
      </c>
      <c r="S37" s="771">
        <f t="shared" si="12"/>
        <v>100</v>
      </c>
      <c r="T37" s="770" t="s">
        <v>21</v>
      </c>
      <c r="U37" s="771">
        <f t="shared" si="13"/>
        <v>100</v>
      </c>
      <c r="V37" s="770" t="s">
        <v>21</v>
      </c>
      <c r="W37" s="771">
        <f t="shared" si="14"/>
        <v>100</v>
      </c>
      <c r="X37" s="772"/>
      <c r="Y37" s="3194"/>
      <c r="Z37" s="2966" t="str">
        <f t="shared" si="18"/>
        <v>成新度</v>
      </c>
      <c r="AA37" s="773">
        <f t="shared" si="15"/>
        <v>1</v>
      </c>
      <c r="AB37" s="773">
        <f t="shared" si="16"/>
        <v>1</v>
      </c>
      <c r="AC37" s="773">
        <f t="shared" si="17"/>
        <v>1</v>
      </c>
    </row>
    <row r="38" spans="1:29" ht="15">
      <c r="A38" s="472"/>
      <c r="B38" s="2971" t="s">
        <v>2521</v>
      </c>
      <c r="C38" s="2612" t="s">
        <v>3326</v>
      </c>
      <c r="D38" s="435">
        <v>100</v>
      </c>
      <c r="E38" s="2613" t="s">
        <v>3326</v>
      </c>
      <c r="F38" s="461">
        <f>SUMIF(114:114,E38,115:115)-SUMIF(114:114,C38,115:115)+100</f>
        <v>100</v>
      </c>
      <c r="G38" s="2613" t="s">
        <v>3326</v>
      </c>
      <c r="H38" s="435">
        <f>SUMIF(114:114,G38,115:115)-SUMIF(114:114,C38,115:115)+100</f>
        <v>100</v>
      </c>
      <c r="I38" s="2613" t="s">
        <v>3326</v>
      </c>
      <c r="J38" s="435">
        <f>SUMIF(114:114,I38,115:115)-SUMIF(114:114,C38,115:115)+100</f>
        <v>100</v>
      </c>
      <c r="K38" s="426">
        <v>1</v>
      </c>
      <c r="L38" s="1140"/>
      <c r="M38" s="1131"/>
      <c r="N38" s="1131"/>
      <c r="O38" s="1131"/>
      <c r="P38" s="3232" t="s">
        <v>2515</v>
      </c>
      <c r="Q38" s="2977" t="str">
        <f t="shared" si="11"/>
        <v>物业管理</v>
      </c>
      <c r="R38" s="774" t="s">
        <v>21</v>
      </c>
      <c r="S38" s="775">
        <f t="shared" si="12"/>
        <v>100</v>
      </c>
      <c r="T38" s="774" t="s">
        <v>21</v>
      </c>
      <c r="U38" s="775">
        <f t="shared" si="13"/>
        <v>100</v>
      </c>
      <c r="V38" s="774" t="s">
        <v>21</v>
      </c>
      <c r="W38" s="775">
        <f t="shared" si="14"/>
        <v>100</v>
      </c>
      <c r="X38" s="2979"/>
      <c r="Y38" s="3194" t="s">
        <v>2515</v>
      </c>
      <c r="Z38" s="2978" t="str">
        <f t="shared" si="18"/>
        <v>物业管理</v>
      </c>
      <c r="AA38" s="2980">
        <f t="shared" si="15"/>
        <v>1</v>
      </c>
      <c r="AB38" s="2980">
        <f t="shared" si="16"/>
        <v>1</v>
      </c>
      <c r="AC38" s="2980">
        <f t="shared" si="17"/>
        <v>1</v>
      </c>
    </row>
    <row r="39" spans="1:29" ht="15">
      <c r="A39" s="472"/>
      <c r="B39" s="2971" t="s">
        <v>2522</v>
      </c>
      <c r="C39" s="2612" t="s">
        <v>3285</v>
      </c>
      <c r="D39" s="435">
        <v>100</v>
      </c>
      <c r="E39" s="2613" t="s">
        <v>3285</v>
      </c>
      <c r="F39" s="461">
        <f>SUMIF(116:116,E39,117:117)-SUMIF(116:116,C39,117:117)+100</f>
        <v>100</v>
      </c>
      <c r="G39" s="2613" t="s">
        <v>3285</v>
      </c>
      <c r="H39" s="435">
        <f>SUMIF(116:116,G39,117:117)-SUMIF(116:116,C39,117:117)+100</f>
        <v>100</v>
      </c>
      <c r="I39" s="2613" t="s">
        <v>3285</v>
      </c>
      <c r="J39" s="435">
        <f>SUMIF(116:116,I39,117:117)-SUMIF(116:116,C39,117:117)+100</f>
        <v>100</v>
      </c>
      <c r="K39" s="426">
        <v>1</v>
      </c>
      <c r="L39" s="1140"/>
      <c r="M39" s="1131"/>
      <c r="N39" s="1131"/>
      <c r="O39" s="1131"/>
      <c r="P39" s="3232"/>
      <c r="Q39" s="2977" t="str">
        <f t="shared" si="11"/>
        <v>市政基础设施</v>
      </c>
      <c r="R39" s="774" t="s">
        <v>21</v>
      </c>
      <c r="S39" s="775">
        <f t="shared" si="12"/>
        <v>100</v>
      </c>
      <c r="T39" s="774" t="s">
        <v>21</v>
      </c>
      <c r="U39" s="775">
        <f t="shared" si="13"/>
        <v>100</v>
      </c>
      <c r="V39" s="774" t="s">
        <v>21</v>
      </c>
      <c r="W39" s="775">
        <f t="shared" si="14"/>
        <v>100</v>
      </c>
      <c r="X39" s="2979"/>
      <c r="Y39" s="3194"/>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2"/>
      <c r="Q40" s="2977" t="str">
        <f t="shared" si="11"/>
        <v>房型</v>
      </c>
      <c r="R40" s="774" t="s">
        <v>21</v>
      </c>
      <c r="S40" s="775">
        <f t="shared" si="12"/>
        <v>100</v>
      </c>
      <c r="T40" s="774" t="s">
        <v>21</v>
      </c>
      <c r="U40" s="775">
        <f t="shared" si="13"/>
        <v>100</v>
      </c>
      <c r="V40" s="774" t="s">
        <v>21</v>
      </c>
      <c r="W40" s="775">
        <f t="shared" si="14"/>
        <v>100</v>
      </c>
      <c r="X40" s="2979"/>
      <c r="Y40" s="3194"/>
      <c r="Z40" s="2978" t="str">
        <f t="shared" si="18"/>
        <v>房型</v>
      </c>
      <c r="AA40" s="2980">
        <f t="shared" si="15"/>
        <v>1</v>
      </c>
      <c r="AB40" s="2980">
        <f t="shared" si="16"/>
        <v>1</v>
      </c>
      <c r="AC40" s="2980">
        <f t="shared" si="17"/>
        <v>1</v>
      </c>
    </row>
    <row r="41" spans="1:29" s="471" customFormat="1" ht="28.5">
      <c r="A41" s="468"/>
      <c r="B41" s="2971" t="s">
        <v>2524</v>
      </c>
      <c r="C41" s="469" t="s">
        <v>3317</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2980">
        <f t="shared" si="15"/>
        <v>1</v>
      </c>
      <c r="AB41" s="2980">
        <f t="shared" si="16"/>
        <v>1</v>
      </c>
      <c r="AC41" s="2980">
        <f t="shared" si="17"/>
        <v>1</v>
      </c>
    </row>
    <row r="42" spans="1:29" ht="15">
      <c r="A42" s="472"/>
      <c r="B42" s="2971" t="s">
        <v>2525</v>
      </c>
      <c r="C42" s="2612" t="s">
        <v>3324</v>
      </c>
      <c r="D42" s="435">
        <v>100</v>
      </c>
      <c r="E42" s="2613" t="s">
        <v>3324</v>
      </c>
      <c r="F42" s="461">
        <f>SUMIF(122:122,E42,123:123)-SUMIF(122:122,C42,123:123)+100</f>
        <v>100</v>
      </c>
      <c r="G42" s="2613" t="s">
        <v>3324</v>
      </c>
      <c r="H42" s="435">
        <f>SUMIF(122:122,G42,123:123)-SUMIF(122:122,C42,123:123)+100</f>
        <v>100</v>
      </c>
      <c r="I42" s="2613" t="s">
        <v>3324</v>
      </c>
      <c r="J42" s="435">
        <f>SUMIF(122:122,I42,123:123)-SUMIF(122:122,C42,123:123)+100</f>
        <v>100</v>
      </c>
      <c r="K42" s="426">
        <v>1</v>
      </c>
      <c r="L42" s="1140"/>
      <c r="M42" s="1131"/>
      <c r="N42" s="1131"/>
      <c r="O42" s="1131"/>
      <c r="P42" s="3232"/>
      <c r="Q42" s="2977" t="str">
        <f t="shared" si="11"/>
        <v>内部装修</v>
      </c>
      <c r="R42" s="774" t="s">
        <v>21</v>
      </c>
      <c r="S42" s="775">
        <f t="shared" si="12"/>
        <v>100</v>
      </c>
      <c r="T42" s="774" t="s">
        <v>21</v>
      </c>
      <c r="U42" s="775">
        <f t="shared" si="13"/>
        <v>100</v>
      </c>
      <c r="V42" s="774" t="s">
        <v>21</v>
      </c>
      <c r="W42" s="775">
        <f t="shared" si="14"/>
        <v>100</v>
      </c>
      <c r="X42" s="2979"/>
      <c r="Y42" s="3194"/>
      <c r="Z42" s="2978" t="str">
        <f t="shared" si="18"/>
        <v>内部装修</v>
      </c>
      <c r="AA42" s="2980">
        <f t="shared" si="15"/>
        <v>1</v>
      </c>
      <c r="AB42" s="2980">
        <f t="shared" si="16"/>
        <v>1</v>
      </c>
      <c r="AC42" s="2980">
        <f t="shared" si="17"/>
        <v>1</v>
      </c>
    </row>
    <row r="43" spans="1:29" ht="15">
      <c r="A43" s="472"/>
      <c r="B43" s="2971" t="s">
        <v>2526</v>
      </c>
      <c r="C43" s="2612" t="s">
        <v>3282</v>
      </c>
      <c r="D43" s="435">
        <v>100</v>
      </c>
      <c r="E43" s="2613" t="s">
        <v>3282</v>
      </c>
      <c r="F43" s="461">
        <f>SUMIF(124:124,E43,125:125)-SUMIF(124:124,C43,125:125)+100</f>
        <v>100</v>
      </c>
      <c r="G43" s="2613" t="s">
        <v>3282</v>
      </c>
      <c r="H43" s="435">
        <f>SUMIF(124:124,G43,125:125)-SUMIF(124:124,C43,125:125)+100</f>
        <v>100</v>
      </c>
      <c r="I43" s="2613" t="s">
        <v>3282</v>
      </c>
      <c r="J43" s="435">
        <f>SUMIF(124:124,I43,125:125)-SUMIF(124:124,C43,125:125)+100</f>
        <v>100</v>
      </c>
      <c r="K43" s="426"/>
      <c r="L43" s="1140"/>
      <c r="M43" s="1131"/>
      <c r="N43" s="1131"/>
      <c r="O43" s="1131"/>
      <c r="P43" s="3232"/>
      <c r="Q43" s="2977" t="str">
        <f t="shared" si="11"/>
        <v>内部装修维护情况</v>
      </c>
      <c r="R43" s="774" t="s">
        <v>21</v>
      </c>
      <c r="S43" s="775">
        <f t="shared" si="12"/>
        <v>100</v>
      </c>
      <c r="T43" s="774" t="s">
        <v>21</v>
      </c>
      <c r="U43" s="775">
        <f t="shared" si="13"/>
        <v>100</v>
      </c>
      <c r="V43" s="774" t="s">
        <v>21</v>
      </c>
      <c r="W43" s="775">
        <f t="shared" si="14"/>
        <v>100</v>
      </c>
      <c r="X43" s="2979"/>
      <c r="Y43" s="3194"/>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2"/>
      <c r="Q44" s="2965">
        <f t="shared" si="11"/>
        <v>0</v>
      </c>
      <c r="R44" s="770" t="s">
        <v>21</v>
      </c>
      <c r="S44" s="771">
        <f t="shared" si="12"/>
        <v>100</v>
      </c>
      <c r="T44" s="770" t="s">
        <v>21</v>
      </c>
      <c r="U44" s="771">
        <f t="shared" si="13"/>
        <v>100</v>
      </c>
      <c r="V44" s="770" t="s">
        <v>21</v>
      </c>
      <c r="W44" s="771">
        <f t="shared" si="14"/>
        <v>100</v>
      </c>
      <c r="X44" s="772"/>
      <c r="Y44" s="3194"/>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2"/>
      <c r="Q45" s="2977">
        <f t="shared" si="11"/>
        <v>0</v>
      </c>
      <c r="R45" s="774" t="s">
        <v>21</v>
      </c>
      <c r="S45" s="775">
        <f t="shared" si="12"/>
        <v>100</v>
      </c>
      <c r="T45" s="774" t="s">
        <v>21</v>
      </c>
      <c r="U45" s="775">
        <f t="shared" si="13"/>
        <v>100</v>
      </c>
      <c r="V45" s="774" t="s">
        <v>21</v>
      </c>
      <c r="W45" s="775">
        <f t="shared" si="14"/>
        <v>100</v>
      </c>
      <c r="X45" s="2979"/>
      <c r="Y45" s="3194"/>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3"/>
      <c r="Q46" s="2977">
        <f t="shared" si="11"/>
        <v>0</v>
      </c>
      <c r="R46" s="774" t="s">
        <v>20</v>
      </c>
      <c r="S46" s="775">
        <f t="shared" si="12"/>
        <v>100</v>
      </c>
      <c r="T46" s="774" t="s">
        <v>20</v>
      </c>
      <c r="U46" s="775">
        <f t="shared" si="13"/>
        <v>100</v>
      </c>
      <c r="V46" s="774" t="s">
        <v>20</v>
      </c>
      <c r="W46" s="775">
        <f t="shared" si="14"/>
        <v>100</v>
      </c>
      <c r="X46" s="2979"/>
      <c r="Y46" s="3234"/>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9" t="str">
        <f>A47</f>
        <v>成交单价（元/平方米）</v>
      </c>
      <c r="Q47" s="3189"/>
      <c r="R47" s="3230">
        <f>E47</f>
        <v>11000</v>
      </c>
      <c r="S47" s="3230"/>
      <c r="T47" s="3230">
        <f>G47</f>
        <v>11000</v>
      </c>
      <c r="U47" s="3230"/>
      <c r="V47" s="3230">
        <f>I47</f>
        <v>11000</v>
      </c>
      <c r="W47" s="3230"/>
      <c r="X47" s="759"/>
      <c r="Y47" s="781"/>
      <c r="Z47" s="759"/>
      <c r="AA47" s="759"/>
      <c r="AB47" s="759"/>
      <c r="AC47" s="759"/>
    </row>
    <row r="48" spans="1:29" ht="15.75" thickBot="1">
      <c r="A48" s="486" t="s">
        <v>2528</v>
      </c>
      <c r="B48" s="487"/>
      <c r="C48" s="1413">
        <f>R49</f>
        <v>11970</v>
      </c>
      <c r="D48" s="1414"/>
      <c r="E48" s="1415">
        <f>R48</f>
        <v>12128</v>
      </c>
      <c r="F48" s="1415"/>
      <c r="G48" s="1413">
        <f>T48</f>
        <v>12361</v>
      </c>
      <c r="H48" s="1414"/>
      <c r="I48" s="1415">
        <f>V48</f>
        <v>11421</v>
      </c>
      <c r="J48" s="1414"/>
      <c r="K48" s="2621"/>
      <c r="L48" s="1143"/>
      <c r="M48" s="1144"/>
      <c r="N48" s="1144"/>
      <c r="O48" s="1144"/>
      <c r="P48" s="3189" t="str">
        <f>A48</f>
        <v>比较价值（元/平方米）</v>
      </c>
      <c r="Q48" s="3189"/>
      <c r="R48" s="3230">
        <f>IF(F1="售价",ROUND(PRODUCT(R47,AA7:AA46),0),ROUND(PRODUCT(R47,AA7:AA46),1))</f>
        <v>12128</v>
      </c>
      <c r="S48" s="3230"/>
      <c r="T48" s="3230">
        <f>IF(F1="售价",ROUND(PRODUCT(T47,AB7:AB46),0),ROUND(PRODUCT(T47,AB7:AB46),1))</f>
        <v>12361</v>
      </c>
      <c r="U48" s="3230"/>
      <c r="V48" s="3230">
        <f>IF(F1="售价",ROUND(PRODUCT(V47,AC7:AC46),0),ROUND(PRODUCT(V47,AC7:AC46),1))</f>
        <v>11421</v>
      </c>
      <c r="W48" s="3230"/>
      <c r="X48" s="759"/>
      <c r="Y48" s="759"/>
      <c r="Z48" s="759"/>
      <c r="AA48" s="759"/>
      <c r="AB48" s="759"/>
      <c r="AC48" s="759"/>
    </row>
    <row r="49" spans="1:29" ht="15.75" thickBot="1">
      <c r="A49" s="492" t="s">
        <v>3272</v>
      </c>
      <c r="B49" s="493"/>
      <c r="C49" s="1416">
        <f>R49</f>
        <v>11970</v>
      </c>
      <c r="D49" s="1417"/>
      <c r="E49" s="1417"/>
      <c r="F49" s="1417"/>
      <c r="G49" s="1417"/>
      <c r="H49" s="1417"/>
      <c r="I49" s="1417"/>
      <c r="J49" s="1417"/>
      <c r="K49" s="2622"/>
      <c r="L49" s="1143"/>
      <c r="M49" s="1144"/>
      <c r="N49" s="1144"/>
      <c r="O49" s="1144"/>
      <c r="P49" s="3183" t="str">
        <f>A49</f>
        <v>估价对象公寓用房的比较价值（楼面单价，元/平方米）</v>
      </c>
      <c r="Q49" s="3184"/>
      <c r="R49" s="3229">
        <f>IF(F1="售价",ROUND(AVERAGE(R48:V48),0),ROUND(AVERAGE(R48:V48),1))</f>
        <v>11970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0.1025454545454545</v>
      </c>
      <c r="F52" s="500" t="str">
        <f>IF(OR(E52&gt;=0.3,E52&lt;=-0.3),"超过30%","")</f>
        <v/>
      </c>
      <c r="G52" s="499">
        <f>IF(G47&lt;G48,G48/G47-1,G47/G48-1)</f>
        <v>0.12372727272727269</v>
      </c>
      <c r="H52" s="500" t="str">
        <f>IF(OR(G52&gt;=0.3,G52&lt;=-0.3),"超过30%","")</f>
        <v/>
      </c>
      <c r="I52" s="499">
        <f>IF(I47&lt;I48,I48/I47-1,I47/I48-1)</f>
        <v>3.8272727272727236E-2</v>
      </c>
      <c r="J52" s="500" t="str">
        <f>IF(OR(I52&gt;=0.3,I52&lt;=-0.3),"超过30%","")</f>
        <v/>
      </c>
      <c r="K52" s="1105"/>
      <c r="L52" s="1106"/>
      <c r="M52" s="1144"/>
      <c r="N52" s="1144"/>
      <c r="O52" s="1144"/>
    </row>
    <row r="53" spans="1:29" ht="13.5" customHeight="1">
      <c r="A53" s="1144"/>
      <c r="B53" s="1144"/>
      <c r="C53" s="497" t="s">
        <v>2530</v>
      </c>
      <c r="D53" s="501"/>
      <c r="E53" s="499">
        <f>IF(E48&lt;G48,G48/E48-1,E48/G48-1)</f>
        <v>1.9211741424802087E-2</v>
      </c>
      <c r="F53" s="500" t="str">
        <f>IF(OR(E53&gt;=0.2,E53&lt;=-0.2),"超过20%","")</f>
        <v/>
      </c>
      <c r="G53" s="499">
        <f>IF(G48&lt;I48,I48/G48-1,G48/I48-1)</f>
        <v>8.2304526748971263E-2</v>
      </c>
      <c r="H53" s="500" t="str">
        <f>IF(OR(G53&gt;=0.2,G53&lt;=-0.2),"超过20%","")</f>
        <v/>
      </c>
      <c r="I53" s="499">
        <f>IF(I48&lt;E48,E48/I48-1,I48/E48-1)</f>
        <v>6.1903511076087936E-2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2020-2</v>
      </c>
      <c r="D58" s="1574">
        <f>EDATE(C58,-1)</f>
        <v>43831</v>
      </c>
      <c r="E58" s="1574">
        <f>EDATE(D58,-1)</f>
        <v>43800</v>
      </c>
      <c r="F58" s="1574">
        <f t="shared" ref="F58:O58" si="19">EDATE(E58,-1)</f>
        <v>43770</v>
      </c>
      <c r="G58" s="1574">
        <f t="shared" si="19"/>
        <v>43739</v>
      </c>
      <c r="H58" s="1574">
        <f t="shared" si="19"/>
        <v>43709</v>
      </c>
      <c r="I58" s="1574">
        <f t="shared" si="19"/>
        <v>43678</v>
      </c>
      <c r="J58" s="1574">
        <f t="shared" si="19"/>
        <v>43647</v>
      </c>
      <c r="K58" s="1574">
        <f t="shared" si="19"/>
        <v>43617</v>
      </c>
      <c r="L58" s="1574">
        <f t="shared" si="19"/>
        <v>43586</v>
      </c>
      <c r="M58" s="1574">
        <f t="shared" si="19"/>
        <v>43556</v>
      </c>
      <c r="N58" s="1574">
        <f t="shared" si="19"/>
        <v>43525</v>
      </c>
      <c r="O58" s="1574">
        <f t="shared" si="19"/>
        <v>43497</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3317</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3317</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3352</v>
      </c>
      <c r="D100" s="2954" t="s">
        <v>3354</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3321</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3323</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3325</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3327</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3284</v>
      </c>
      <c r="D116" s="554" t="s">
        <v>3285</v>
      </c>
      <c r="E116" s="554" t="s">
        <v>3286</v>
      </c>
      <c r="F116" s="554" t="s">
        <v>3287</v>
      </c>
      <c r="G116" s="554" t="s">
        <v>3288</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3317</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3317</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3325</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3311</v>
      </c>
      <c r="E1" s="1820" t="s">
        <v>1379</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t="e">
        <f ca="1">C40+J29+L46</f>
        <v>#N/A</v>
      </c>
      <c r="C2" s="1844" t="s">
        <v>1508</v>
      </c>
      <c r="D2" s="1844"/>
      <c r="E2" s="1845"/>
      <c r="F2" s="1846"/>
      <c r="G2" s="1847"/>
      <c r="H2" s="1839"/>
      <c r="I2" s="1839"/>
      <c r="J2" s="1839"/>
      <c r="K2" s="1840"/>
      <c r="L2" s="1839"/>
      <c r="M2" s="1839"/>
    </row>
    <row r="3" spans="1:37" ht="18" customHeight="1" thickBot="1">
      <c r="A3" s="1848" t="s">
        <v>1509</v>
      </c>
      <c r="B3" s="1849">
        <f ca="1">IF(ISERROR(B2*10000/F43),0,ROUND(B2*10000/F43,0))</f>
        <v>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t="e">
        <f ca="1">C6+C10+C12</f>
        <v>#N/A</v>
      </c>
      <c r="D5" s="1821" t="s">
        <v>1394</v>
      </c>
      <c r="E5" s="1293"/>
      <c r="F5" s="1294"/>
      <c r="G5" s="1850"/>
      <c r="H5" s="344">
        <v>1</v>
      </c>
      <c r="I5" s="345" t="s">
        <v>1393</v>
      </c>
      <c r="J5" s="1292" t="e">
        <f ca="1">J6+J10+J12</f>
        <v>#N/A</v>
      </c>
      <c r="K5" s="1821" t="s">
        <v>1394</v>
      </c>
      <c r="L5" s="1293"/>
      <c r="M5" s="1294"/>
    </row>
    <row r="6" spans="1:37" ht="18" customHeight="1">
      <c r="A6" s="1291" t="s">
        <v>1031</v>
      </c>
      <c r="B6" s="3241" t="s">
        <v>1395</v>
      </c>
      <c r="C6" s="1296" t="e">
        <f ca="1">ROUND(F6*F8*F7*(1-F9)/10000,0)</f>
        <v>#N/A</v>
      </c>
      <c r="D6" s="164" t="s">
        <v>2981</v>
      </c>
      <c r="E6" s="347" t="s">
        <v>1397</v>
      </c>
      <c r="F6" s="348" t="e">
        <f ca="1">INDIRECT("'数据-取费表'!u"&amp;$G$1)</f>
        <v>#N/A</v>
      </c>
      <c r="G6" s="1850"/>
      <c r="H6" s="1291" t="s">
        <v>1031</v>
      </c>
      <c r="I6" s="3241" t="s">
        <v>1395</v>
      </c>
      <c r="J6" s="346" t="e">
        <f ca="1">ROUND(M6*M8*M7*(1-M9)/10000,0)</f>
        <v>#N/A</v>
      </c>
      <c r="K6" s="164" t="s">
        <v>2980</v>
      </c>
      <c r="L6" s="347" t="s">
        <v>1397</v>
      </c>
      <c r="M6" s="348" t="e">
        <f ca="1">INDIRECT("'数据-取费表'!z"&amp;$G$1)</f>
        <v>#N/A</v>
      </c>
    </row>
    <row r="7" spans="1:37" ht="18" customHeight="1">
      <c r="A7" s="1295"/>
      <c r="B7" s="3242"/>
      <c r="C7" s="1297"/>
      <c r="D7" s="352"/>
      <c r="E7" s="1298" t="s">
        <v>1398</v>
      </c>
      <c r="F7" s="348" t="e">
        <f ca="1">IF(INDIRECT("'数据-取费表'!ah"&amp;$G$1)="",INDIRECT("'数据-取费表'!k"&amp;$G$1),INDIRECT("'数据-取费表'!ah"&amp;$G$1))</f>
        <v>#N/A</v>
      </c>
      <c r="G7" s="1850"/>
      <c r="H7" s="349"/>
      <c r="I7" s="3242"/>
      <c r="J7" s="351"/>
      <c r="K7" s="352"/>
      <c r="L7" s="347" t="s">
        <v>1398</v>
      </c>
      <c r="M7" s="348" t="e">
        <f ca="1">F7</f>
        <v>#N/A</v>
      </c>
    </row>
    <row r="8" spans="1:37" ht="18" customHeight="1">
      <c r="A8" s="349"/>
      <c r="B8" s="3242"/>
      <c r="C8" s="351"/>
      <c r="D8" s="352"/>
      <c r="E8" s="347" t="s">
        <v>1399</v>
      </c>
      <c r="F8" s="348" t="e">
        <f ca="1">INDIRECT("'数据-取费表'!ai"&amp;$G$1)</f>
        <v>#N/A</v>
      </c>
      <c r="G8" s="1850"/>
      <c r="H8" s="349"/>
      <c r="I8" s="3242"/>
      <c r="J8" s="351"/>
      <c r="K8" s="352"/>
      <c r="L8" s="347" t="s">
        <v>1399</v>
      </c>
      <c r="M8" s="348" t="e">
        <f ca="1">INDIRECT("'数据-取费表'!ai"&amp;$G$1)</f>
        <v>#N/A</v>
      </c>
    </row>
    <row r="9" spans="1:37" ht="18" customHeight="1">
      <c r="A9" s="349"/>
      <c r="B9" s="3243"/>
      <c r="C9" s="351"/>
      <c r="D9" s="352"/>
      <c r="E9" s="347" t="s">
        <v>1400</v>
      </c>
      <c r="F9" s="357" t="e">
        <f ca="1">INDIRECT("'数据-取费表'!w"&amp;$G$1)</f>
        <v>#N/A</v>
      </c>
      <c r="G9" s="1850"/>
      <c r="H9" s="349"/>
      <c r="I9" s="3243"/>
      <c r="J9" s="351"/>
      <c r="K9" s="352"/>
      <c r="L9" s="358" t="s">
        <v>1400</v>
      </c>
      <c r="M9" s="359" t="e">
        <f ca="1">INDIRECT("'数据-取费表'!ab"&amp;$G$1)</f>
        <v>#N/A</v>
      </c>
    </row>
    <row r="10" spans="1:37" ht="18" customHeight="1">
      <c r="A10" s="1291" t="s">
        <v>1035</v>
      </c>
      <c r="B10" s="1822" t="s">
        <v>1401</v>
      </c>
      <c r="C10" s="361" t="e">
        <f ca="1">ROUND(IF(F10="押一",C6/12*F11,IF(F10="押二",C6/12*2*F11,IF(F10="押三",C6/12*3*F11,C11*F11))),0)</f>
        <v>#N/A</v>
      </c>
      <c r="D10" s="1823" t="s">
        <v>2990</v>
      </c>
      <c r="E10" s="358" t="s">
        <v>1402</v>
      </c>
      <c r="F10" s="1366" t="s">
        <v>3312</v>
      </c>
      <c r="G10" s="1850"/>
      <c r="H10" s="1291" t="s">
        <v>1035</v>
      </c>
      <c r="I10" s="1822" t="s">
        <v>1401</v>
      </c>
      <c r="J10" s="346" t="e">
        <f ca="1">ROUND(IF(M10="押一",J6/12*M11,IF(M10="押二",J6/12*2*M11,IF(M10="押三",J6/12*3*M11,J11*M11))),0)</f>
        <v>#N/A</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t="e">
        <f ca="1">ROUND(C29*F13,0)</f>
        <v>#N/A</v>
      </c>
      <c r="D13" s="1331" t="s">
        <v>1407</v>
      </c>
      <c r="E13" s="1331" t="s">
        <v>1408</v>
      </c>
      <c r="F13" s="1332" t="e">
        <f ca="1">INDIRECT("'数据-取费表'!y"&amp;$G$1)</f>
        <v>#N/A</v>
      </c>
      <c r="G13" s="1850"/>
      <c r="H13" s="1329">
        <v>2</v>
      </c>
      <c r="I13" s="1330" t="s">
        <v>1406</v>
      </c>
      <c r="J13" s="1290" t="e">
        <f ca="1">ROUND(J14*J15,0)</f>
        <v>#N/A</v>
      </c>
      <c r="K13" s="1337" t="s">
        <v>1407</v>
      </c>
      <c r="L13" s="1851"/>
      <c r="M13" s="1852"/>
    </row>
    <row r="14" spans="1:37" ht="18" customHeight="1">
      <c r="A14" s="1201" t="s">
        <v>1030</v>
      </c>
      <c r="B14" s="347" t="s">
        <v>1409</v>
      </c>
      <c r="C14" s="363" t="e">
        <f ca="1">INDIRECT("'数据-取费表'!m"&amp;$G$1)+INDIRECT("'数据-取费表'!t"&amp;$G$1)</f>
        <v>#N/A</v>
      </c>
      <c r="D14" s="1799" t="s">
        <v>1410</v>
      </c>
      <c r="E14" s="1793"/>
      <c r="F14" s="364"/>
      <c r="G14" s="1850"/>
      <c r="H14" s="1201" t="s">
        <v>1031</v>
      </c>
      <c r="I14" s="347" t="s">
        <v>1411</v>
      </c>
      <c r="J14" s="24" t="e">
        <f ca="1">C29</f>
        <v>#N/A</v>
      </c>
      <c r="K14" s="15"/>
      <c r="L14" s="979"/>
      <c r="M14" s="980"/>
    </row>
    <row r="15" spans="1:37" s="1857" customFormat="1" ht="18" customHeight="1" thickBot="1">
      <c r="A15" s="1201" t="s">
        <v>1032</v>
      </c>
      <c r="B15" s="347" t="s">
        <v>1412</v>
      </c>
      <c r="C15" s="24" t="e">
        <f ca="1">ROUND(C14*F15,0)</f>
        <v>#N/A</v>
      </c>
      <c r="D15" s="365" t="s">
        <v>1413</v>
      </c>
      <c r="E15" s="365" t="s">
        <v>1414</v>
      </c>
      <c r="F15" s="366">
        <f>'数据-取费表'!B33</f>
        <v>0.05</v>
      </c>
      <c r="G15" s="1853"/>
      <c r="H15" s="1339" t="s">
        <v>1035</v>
      </c>
      <c r="I15" s="1340" t="s">
        <v>1408</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t="e">
        <f ca="1">ROUND(INDIRECT("'数据-取费表'!m"&amp;$G$1)*F16,0)</f>
        <v>#N/A</v>
      </c>
      <c r="D16" s="347" t="s">
        <v>1413</v>
      </c>
      <c r="E16" s="347" t="s">
        <v>1414</v>
      </c>
      <c r="F16" s="367" t="e">
        <f ca="1">IF(INDIRECT("'数据-取费表'!c"&amp;$G$1)="住宅",'数据-取费表'!B34,0)</f>
        <v>#N/A</v>
      </c>
      <c r="G16" s="1850"/>
      <c r="H16" s="1329" t="s">
        <v>1026</v>
      </c>
      <c r="I16" s="1330" t="s">
        <v>1416</v>
      </c>
      <c r="J16" s="355" t="e">
        <f ca="1">ROUND(J17+J22+J23+J24,0)</f>
        <v>#N/A</v>
      </c>
      <c r="K16" s="1337" t="s">
        <v>1417</v>
      </c>
      <c r="L16" s="1338"/>
      <c r="M16" s="1294"/>
    </row>
    <row r="17" spans="1:37" s="1857" customFormat="1" ht="18" customHeight="1">
      <c r="A17" s="1201" t="s">
        <v>1382</v>
      </c>
      <c r="B17" s="347" t="s">
        <v>1418</v>
      </c>
      <c r="C17" s="24" t="e">
        <f ca="1">ROUND(F17*(F43+INDIRECT("'数据-取费表'!S"&amp;$G$1))/10000,0)</f>
        <v>#N/A</v>
      </c>
      <c r="D17" s="347" t="s">
        <v>1419</v>
      </c>
      <c r="E17" s="347" t="s">
        <v>1420</v>
      </c>
      <c r="F17" s="26">
        <f>'数据-取费表'!B35</f>
        <v>150</v>
      </c>
      <c r="G17" s="1853"/>
      <c r="H17" s="1201" t="s">
        <v>1031</v>
      </c>
      <c r="I17" s="347" t="s">
        <v>1421</v>
      </c>
      <c r="J17" s="24" t="e">
        <f ca="1">ROUND(IF(项目基本情况!B11="自然人",J5*M17,J18+J19+J20),1)</f>
        <v>#N/A</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t="e">
        <f ca="1">ROUND(C14*F18,0)</f>
        <v>#N/A</v>
      </c>
      <c r="D18" s="347" t="s">
        <v>1413</v>
      </c>
      <c r="E18" s="347" t="s">
        <v>1414</v>
      </c>
      <c r="F18" s="367">
        <f>'数据-取费表'!B36</f>
        <v>1.4999999999999999E-2</v>
      </c>
      <c r="G18" s="1853"/>
      <c r="H18" s="1201" t="s">
        <v>1030</v>
      </c>
      <c r="I18" s="347" t="s">
        <v>1425</v>
      </c>
      <c r="J18" s="24" t="e">
        <f ca="1">ROUND(J5*M18/(1+'数据-取费表'!C42),2)</f>
        <v>#N/A</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t="e">
        <f ca="1">SUM(C14:C18)</f>
        <v>#N/A</v>
      </c>
      <c r="D19" s="140" t="s">
        <v>1428</v>
      </c>
      <c r="E19" s="1817"/>
      <c r="F19" s="26"/>
      <c r="G19" s="1850"/>
      <c r="H19" s="1201" t="s">
        <v>1032</v>
      </c>
      <c r="I19" s="347" t="s">
        <v>1429</v>
      </c>
      <c r="J19" s="24" t="e">
        <f ca="1">IF(K19="按租金收入计税",ROUND(J5*M19,2),ROUND(C29*M19*0.7,2))</f>
        <v>#N/A</v>
      </c>
      <c r="K19" s="1827" t="s">
        <v>1430</v>
      </c>
      <c r="L19" s="347" t="s">
        <v>1414</v>
      </c>
      <c r="M19" s="367">
        <f>IF(K19="按租金收入计税",'数据-取费表'!B51,'数据-取费表'!B50)</f>
        <v>1.2E-2</v>
      </c>
    </row>
    <row r="20" spans="1:37" s="1857" customFormat="1" ht="18" customHeight="1">
      <c r="A20" s="1201" t="s">
        <v>1035</v>
      </c>
      <c r="B20" s="347" t="s">
        <v>1431</v>
      </c>
      <c r="C20" s="24" t="e">
        <f ca="1">ROUND(C19*F20,0)</f>
        <v>#N/A</v>
      </c>
      <c r="D20" s="369" t="s">
        <v>1432</v>
      </c>
      <c r="E20" s="347" t="s">
        <v>1414</v>
      </c>
      <c r="F20" s="367">
        <f>'数据-取费表'!B37</f>
        <v>0.01</v>
      </c>
      <c r="G20" s="1853"/>
      <c r="H20" s="1201" t="s">
        <v>1381</v>
      </c>
      <c r="I20" s="164" t="s">
        <v>1433</v>
      </c>
      <c r="J20" s="25" t="e">
        <f ca="1">ROUND(M20*M21/10000,2)</f>
        <v>#N/A</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t="e">
        <f ca="1">ROUND(J14*M22,1)</f>
        <v>#N/A</v>
      </c>
      <c r="K22" s="1797" t="s">
        <v>1442</v>
      </c>
      <c r="L22" s="347" t="s">
        <v>1414</v>
      </c>
      <c r="M22" s="374" t="e">
        <f ca="1">INDIRECT("'数据-取费表'!Ak"&amp;$G$1)</f>
        <v>#N/A</v>
      </c>
    </row>
    <row r="23" spans="1:37" s="1857" customFormat="1" ht="18" customHeight="1">
      <c r="A23" s="1201" t="s">
        <v>1030</v>
      </c>
      <c r="B23" s="347" t="s">
        <v>1443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t="e">
        <f ca="1">ROUND(J13*M23,1)</f>
        <v>#N/A</v>
      </c>
      <c r="K23" s="1797" t="s">
        <v>1446</v>
      </c>
      <c r="L23" s="347" t="s">
        <v>1447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5.0000000000000001E-4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t="e">
        <f ca="1">ROUND(J5*M24,1)</f>
        <v>#N/A</v>
      </c>
      <c r="K24" s="1342" t="s">
        <v>1451</v>
      </c>
      <c r="L24" s="1340" t="s">
        <v>1447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t="e">
        <f ca="1">J5-J16</f>
        <v>#N/A</v>
      </c>
      <c r="K25" s="1345" t="s">
        <v>1456</v>
      </c>
      <c r="L25" s="1346"/>
      <c r="M25" s="1347"/>
    </row>
    <row r="26" spans="1:37">
      <c r="A26" s="1201" t="s">
        <v>1030</v>
      </c>
      <c r="B26" s="347" t="s">
        <v>1457</v>
      </c>
      <c r="C26" s="24" t="e">
        <f ca="1">ROUND((C19+C20)*F26,0)</f>
        <v>#N/A</v>
      </c>
      <c r="D26" s="369" t="s">
        <v>1458</v>
      </c>
      <c r="E26" s="358" t="s">
        <v>1459</v>
      </c>
      <c r="F26" s="357" t="e">
        <f ca="1">INDIRECT("'数据-取费表'!q"&amp;$G$1)</f>
        <v>#N/A</v>
      </c>
      <c r="G26" s="1850"/>
      <c r="H26" s="344" t="s">
        <v>1028</v>
      </c>
      <c r="I26" s="345" t="s">
        <v>1460</v>
      </c>
      <c r="J26" s="346" t="e">
        <f ca="1">IF(J5&lt;&gt;0,ROUND(J25*(1-((1+M28)/(1+M26))^M27)/(M26-M28),0),0)</f>
        <v>#N/A</v>
      </c>
      <c r="K26" s="370" t="s">
        <v>1461</v>
      </c>
      <c r="L26" s="347" t="s">
        <v>1462</v>
      </c>
      <c r="M26" s="357" t="e">
        <f ca="1">INDIRECT("'数据-取费表'!I"&amp;$G$1)</f>
        <v>#N/A</v>
      </c>
    </row>
    <row r="27" spans="1:37" ht="18" customHeight="1">
      <c r="A27" s="1201" t="s">
        <v>1032</v>
      </c>
      <c r="B27" s="347" t="s">
        <v>1463</v>
      </c>
      <c r="C27" s="24" t="e">
        <f ca="1">ROUND(F21*F26,4)</f>
        <v>#N/A</v>
      </c>
      <c r="D27" s="369" t="s">
        <v>1464</v>
      </c>
      <c r="E27" s="365"/>
      <c r="F27" s="366"/>
      <c r="G27" s="1850"/>
      <c r="H27" s="349"/>
      <c r="I27" s="350"/>
      <c r="J27" s="351"/>
      <c r="K27" s="378" t="s">
        <v>1465</v>
      </c>
      <c r="L27" s="347" t="s">
        <v>1466</v>
      </c>
      <c r="M27" s="379" t="e">
        <f ca="1">INDIRECT("'数据-取费表'!ag"&amp;$G$1)</f>
        <v>#N/A</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t="e">
        <f ca="1">ROUND((C19+C20+C23+C26)/(1-F21-C24-C27-C28),0)</f>
        <v>#N/A</v>
      </c>
      <c r="D29" s="1342"/>
      <c r="E29" s="1340"/>
      <c r="F29" s="1343"/>
      <c r="G29" s="1853"/>
      <c r="H29" s="380" t="s">
        <v>1029</v>
      </c>
      <c r="I29" s="381" t="s">
        <v>1471</v>
      </c>
      <c r="J29" s="382" t="e">
        <f ca="1">ROUND(J26/(1+F40)^F41,0)</f>
        <v>#N/A</v>
      </c>
      <c r="K29" s="383" t="s">
        <v>1472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t="e">
        <f ca="1">ROUND(C31+C36+C37+C38,0)</f>
        <v>#N/A</v>
      </c>
      <c r="D30" s="1337" t="s">
        <v>1417</v>
      </c>
      <c r="E30" s="1338"/>
      <c r="F30" s="1294"/>
      <c r="G30" s="1850"/>
      <c r="H30" s="745"/>
      <c r="I30" s="746"/>
      <c r="J30" s="747"/>
      <c r="K30" s="748"/>
      <c r="L30" s="749"/>
      <c r="M30" s="750"/>
    </row>
    <row r="31" spans="1:37" ht="18" customHeight="1">
      <c r="A31" s="1201" t="s">
        <v>1031</v>
      </c>
      <c r="B31" s="347" t="s">
        <v>1421</v>
      </c>
      <c r="C31" s="24" t="e">
        <f ca="1">ROUND(IF(项目基本情况!B11="自然人",C5*F31,C32+C33+C34),1)</f>
        <v>#N/A</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t="e">
        <f ca="1">IF(项目基本情况!B11="自然人","——",ROUND(C5*F32/(1+'数据-取费表'!C42),2))</f>
        <v>#N/A</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t="e">
        <f ca="1">IF(项目基本情况!B11="自然人","——",IF(D33="按租金收入计税",ROUND(C5*F33,2),IF(D33="按房产原值计税",ROUND(C29*F33*0.7,2),INDIRECT("'数据-取费表'!Aj"&amp;$G$1))))</f>
        <v>#N/A</v>
      </c>
      <c r="D33" s="1827" t="s">
        <v>3313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t="e">
        <f ca="1">IF(项目基本情况!B11="自然人","——",ROUND(F34*F35/10000,2))</f>
        <v>#N/A</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t="e">
        <f ca="1">INDIRECT("'数据-取费表'!r"&amp;$G$1)</f>
        <v>#N/A</v>
      </c>
      <c r="G35" s="1850"/>
      <c r="H35" s="745"/>
      <c r="I35" s="1859"/>
      <c r="J35" s="1860"/>
      <c r="K35" s="1861"/>
      <c r="L35" s="1858"/>
      <c r="M35" s="1858"/>
    </row>
    <row r="36" spans="1:18" ht="18" customHeight="1">
      <c r="A36" s="1352" t="s">
        <v>1035</v>
      </c>
      <c r="B36" s="347" t="s">
        <v>1441</v>
      </c>
      <c r="C36" s="24" t="e">
        <f ca="1">ROUND(C29*F36,1)</f>
        <v>#N/A</v>
      </c>
      <c r="D36" s="1797" t="s">
        <v>1474</v>
      </c>
      <c r="E36" s="347" t="s">
        <v>1414</v>
      </c>
      <c r="F36" s="374" t="e">
        <f ca="1">INDIRECT("'数据-取费表'!Ak"&amp;$G$1)</f>
        <v>#N/A</v>
      </c>
      <c r="G36" s="1850"/>
      <c r="H36" s="1858"/>
      <c r="I36" s="1859"/>
      <c r="J36" s="1860"/>
      <c r="K36" s="751"/>
      <c r="L36" s="1858"/>
      <c r="M36" s="1858"/>
    </row>
    <row r="37" spans="1:18" ht="18" customHeight="1">
      <c r="A37" s="1201" t="s">
        <v>1071</v>
      </c>
      <c r="B37" s="347" t="s">
        <v>1445</v>
      </c>
      <c r="C37" s="24" t="e">
        <f ca="1">ROUND(C13*F37,1)</f>
        <v>#N/A</v>
      </c>
      <c r="D37" s="1797" t="s">
        <v>1446</v>
      </c>
      <c r="E37" s="347" t="s">
        <v>1447</v>
      </c>
      <c r="F37" s="376" t="e">
        <f ca="1">INDIRECT("'数据-取费表'!Al"&amp;$G$1)</f>
        <v>#N/A</v>
      </c>
      <c r="G37" s="1850"/>
      <c r="H37" s="1858"/>
      <c r="I37" s="1859"/>
      <c r="J37" s="1860"/>
      <c r="K37" s="751"/>
      <c r="L37" s="1858"/>
      <c r="M37" s="1858"/>
    </row>
    <row r="38" spans="1:18" ht="18" customHeight="1" thickBot="1">
      <c r="A38" s="1339" t="s">
        <v>1385</v>
      </c>
      <c r="B38" s="1340" t="s">
        <v>1431</v>
      </c>
      <c r="C38" s="1341" t="e">
        <f ca="1">ROUND(C5*F38,1)</f>
        <v>#N/A</v>
      </c>
      <c r="D38" s="1342" t="s">
        <v>1451</v>
      </c>
      <c r="E38" s="1340" t="s">
        <v>1447</v>
      </c>
      <c r="F38" s="1336" t="e">
        <f ca="1">INDIRECT("'数据-取费表'!Am"&amp;$G$1)</f>
        <v>#N/A</v>
      </c>
      <c r="G38" s="1850"/>
      <c r="H38" s="1858"/>
      <c r="I38" s="1859"/>
      <c r="J38" s="1860"/>
      <c r="K38" s="1864"/>
      <c r="L38" s="1858"/>
      <c r="M38" s="1858"/>
    </row>
    <row r="39" spans="1:18" ht="24.6" customHeight="1" thickTop="1">
      <c r="A39" s="1329" t="s">
        <v>1027</v>
      </c>
      <c r="B39" s="1344" t="s">
        <v>1475</v>
      </c>
      <c r="C39" s="355" t="e">
        <f ca="1">C5-C30</f>
        <v>#N/A</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#N/A</v>
      </c>
      <c r="D40" s="370" t="s">
        <v>1461</v>
      </c>
      <c r="E40" s="347" t="s">
        <v>1462</v>
      </c>
      <c r="F40" s="357" t="e">
        <f ca="1">INDIRECT("'数据-取费表'!I"&amp;$G$1)</f>
        <v>#N/A</v>
      </c>
      <c r="G40" s="1850"/>
      <c r="H40" s="1838"/>
      <c r="I40" s="1859"/>
      <c r="J40" s="1860"/>
      <c r="K40" s="1864"/>
      <c r="L40" s="1838"/>
      <c r="M40" s="1838"/>
    </row>
    <row r="41" spans="1:18" ht="18" customHeight="1">
      <c r="A41" s="349"/>
      <c r="B41" s="350"/>
      <c r="C41" s="351"/>
      <c r="D41" s="378" t="s">
        <v>1478</v>
      </c>
      <c r="E41" s="347" t="s">
        <v>1466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1469</v>
      </c>
      <c r="F42" s="357" t="e">
        <f ca="1">INDIRECT("'数据-取费表'!v"&amp;$G$1)</f>
        <v>#N/A</v>
      </c>
      <c r="G42" s="1850"/>
      <c r="H42" s="732"/>
      <c r="I42" s="1859"/>
      <c r="J42" s="1860"/>
      <c r="K42" s="751"/>
      <c r="L42" s="732"/>
      <c r="M42" s="732"/>
    </row>
    <row r="43" spans="1:18" ht="18" customHeight="1" thickBot="1">
      <c r="A43" s="380" t="s">
        <v>1029</v>
      </c>
      <c r="B43" s="381" t="s">
        <v>1479</v>
      </c>
      <c r="C43" s="382" t="e">
        <f ca="1">ROUND(C40*10000/F43,0)</f>
        <v>#N/A</v>
      </c>
      <c r="D43" s="383" t="s">
        <v>1480</v>
      </c>
      <c r="E43" s="384" t="s">
        <v>1481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t="e">
        <f ca="1">C68-C40</f>
        <v>#N/A</v>
      </c>
      <c r="D46" s="1871" t="str">
        <f>C2</f>
        <v>万元</v>
      </c>
      <c r="E46" s="1865"/>
      <c r="F46" s="1865"/>
      <c r="I46" s="1872" t="s">
        <v>1513</v>
      </c>
      <c r="J46" s="1873"/>
      <c r="K46" s="1874"/>
      <c r="L46" s="1875" t="e">
        <f ca="1">IF(M47="住宅",0,IF(L48&gt;J51,L60,J60))</f>
        <v>#N/A</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3314</v>
      </c>
      <c r="K47" s="1881" t="s">
        <v>1519</v>
      </c>
      <c r="L47" s="1882" t="e">
        <f ca="1">INDIRECT("'数据-取费表'!d"&amp;$G$1)</f>
        <v>#N/A</v>
      </c>
      <c r="M47" s="1837" t="str">
        <f>IF(ISNUMBER(FIND("住宅",C1)),"住宅","非住宅")</f>
        <v>非住宅</v>
      </c>
      <c r="O47" s="1883" t="s">
        <v>1036</v>
      </c>
      <c r="P47" s="1884" t="s">
        <v>1520</v>
      </c>
      <c r="Q47" s="1885" t="e">
        <f ca="1">C40+J29</f>
        <v>#N/A</v>
      </c>
      <c r="R47" s="1885" t="s">
        <v>1521</v>
      </c>
    </row>
    <row r="48" spans="1:18" s="1841" customFormat="1" ht="28.5" thickBot="1">
      <c r="A48" s="1360" t="s">
        <v>1131</v>
      </c>
      <c r="B48" s="345" t="s">
        <v>1393</v>
      </c>
      <c r="C48" s="1816" t="e">
        <f ca="1">C49+C53+C55</f>
        <v>#N/A</v>
      </c>
      <c r="D48" s="1362"/>
      <c r="E48" s="1363"/>
      <c r="F48" s="1181"/>
      <c r="G48" s="792"/>
      <c r="H48" s="793"/>
      <c r="I48" s="1886" t="s">
        <v>1522</v>
      </c>
      <c r="J48" s="1887" t="s">
        <v>3315</v>
      </c>
      <c r="K48" s="1888" t="s">
        <v>1523</v>
      </c>
      <c r="L48" s="1889" t="e">
        <f ca="1">INDIRECT("'数据-取费表'!f"&amp;$G$1)</f>
        <v>#N/A</v>
      </c>
      <c r="O48" s="1883" t="s">
        <v>1037</v>
      </c>
      <c r="P48" s="1884" t="s">
        <v>1524</v>
      </c>
      <c r="Q48" s="1885" t="e">
        <f ca="1">J60</f>
        <v>#N/A</v>
      </c>
      <c r="R48" s="1885" t="s">
        <v>1525</v>
      </c>
    </row>
    <row r="49" spans="1:18" s="1841" customFormat="1" ht="13.5" thickBot="1">
      <c r="A49" s="1194" t="s">
        <v>1132</v>
      </c>
      <c r="B49" s="1828" t="s">
        <v>1482</v>
      </c>
      <c r="C49" s="1364" t="e">
        <f ca="1">ROUND(F49*F51*F50*(1-F52)/10000,0)</f>
        <v>#N/A</v>
      </c>
      <c r="D49" s="1276" t="s">
        <v>2982</v>
      </c>
      <c r="E49" s="1829" t="s">
        <v>1483</v>
      </c>
      <c r="F49" s="1281"/>
      <c r="G49" s="1890"/>
      <c r="H49" s="793"/>
      <c r="I49" s="1886" t="s">
        <v>1526</v>
      </c>
      <c r="J49" s="1891">
        <v>2019</v>
      </c>
      <c r="K49" s="1888" t="s">
        <v>1527</v>
      </c>
      <c r="L49" s="1892"/>
      <c r="O49" s="1893" t="s">
        <v>1038</v>
      </c>
      <c r="P49" s="1884" t="s">
        <v>1528</v>
      </c>
      <c r="Q49" s="1885" t="e">
        <f ca="1">C29</f>
        <v>#N/A</v>
      </c>
      <c r="R49" s="1885" t="s">
        <v>1521</v>
      </c>
    </row>
    <row r="50" spans="1:18" s="1841" customFormat="1" ht="13.5" thickBot="1">
      <c r="A50" s="1195"/>
      <c r="B50" s="1198"/>
      <c r="C50" s="1368"/>
      <c r="D50" s="1172"/>
      <c r="E50" s="1277" t="s">
        <v>1398</v>
      </c>
      <c r="F50" s="1278" t="e">
        <f ca="1">F7</f>
        <v>#N/A</v>
      </c>
      <c r="H50" s="793"/>
      <c r="I50" s="1886" t="s">
        <v>1529</v>
      </c>
      <c r="J50" s="1894">
        <f>SUMPRODUCT((I63:I65=J47)*(J62:L62=J48)*(J63:L65))</f>
        <v>60</v>
      </c>
      <c r="K50" s="1888" t="s">
        <v>1530</v>
      </c>
      <c r="L50" s="1892"/>
      <c r="M50" s="1895"/>
      <c r="O50" s="1893" t="s">
        <v>1039</v>
      </c>
      <c r="P50" s="1884" t="s">
        <v>1531</v>
      </c>
      <c r="Q50" s="1896" t="e">
        <f ca="1">J58</f>
        <v>#N/A</v>
      </c>
      <c r="R50" s="1885"/>
    </row>
    <row r="51" spans="1:18" s="1841" customFormat="1" ht="13.5" thickBot="1">
      <c r="A51" s="1196"/>
      <c r="B51" s="1198"/>
      <c r="C51" s="1199"/>
      <c r="D51" s="1172"/>
      <c r="E51" s="1200" t="s">
        <v>1399</v>
      </c>
      <c r="F51" s="348" t="e">
        <f ca="1">F8</f>
        <v>#N/A</v>
      </c>
      <c r="I51" s="1897" t="s">
        <v>1532</v>
      </c>
      <c r="J51" s="1898">
        <f>IF(J49="",J50,J49+J50-YEAR('数据-取费表'!B2))</f>
        <v>59</v>
      </c>
      <c r="K51" s="1899" t="s">
        <v>1533</v>
      </c>
      <c r="L51" s="1900" t="e">
        <f ca="1">ROUND(-PV(INDIRECT("'数据-取费表'!h"&amp;$G$1),L48,(C39-C13*C76),0),0)</f>
        <v>#N/A</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t="e">
        <f ca="1">J53</f>
        <v>#N/A</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t="e">
        <f ca="1">IF(M47="住宅",IF(D1="——",MAX(J51,L48),IF(D1="在建（套用方法）",MAX(J51,L48-'数据-取费表'!B24),MAX(J51,L48-'数据-取费表'!B20))),IF(D1="——",MIN(J51,L48),IF(D1="在建（套用方法）",MIN(J51,L48-'数据-取费表'!B24),IF(D1="土地（套用方法）",MIN(J51,L48-'数据-取费表'!B20)))))</f>
        <v>#N/A</v>
      </c>
      <c r="K53" s="3239" t="s">
        <v>1540</v>
      </c>
      <c r="L53" s="3240"/>
      <c r="O53" s="1883" t="s">
        <v>1042</v>
      </c>
      <c r="P53" s="1884" t="s">
        <v>1541</v>
      </c>
      <c r="Q53" s="1885" t="e">
        <f ca="1">Q47+Q48</f>
        <v>#N/A</v>
      </c>
      <c r="R53" s="1885" t="s">
        <v>1043</v>
      </c>
    </row>
    <row r="54" spans="1:18" s="1841" customFormat="1" ht="13.5" thickBot="1">
      <c r="A54" s="1406"/>
      <c r="B54" s="1824" t="s">
        <v>1380</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#N/A</v>
      </c>
      <c r="K55" s="1911" t="s">
        <v>1544</v>
      </c>
      <c r="L55" s="1912" t="s">
        <v>1545</v>
      </c>
      <c r="O55" s="1876" t="s">
        <v>1514</v>
      </c>
      <c r="P55" s="1877" t="s">
        <v>1515</v>
      </c>
      <c r="Q55" s="1878" t="s">
        <v>1516</v>
      </c>
      <c r="R55" s="1878" t="s">
        <v>1517</v>
      </c>
    </row>
    <row r="56" spans="1:18" s="1841" customFormat="1" ht="25.5" thickTop="1" thickBot="1">
      <c r="A56" s="1176">
        <v>2</v>
      </c>
      <c r="B56" s="1177" t="s">
        <v>1406</v>
      </c>
      <c r="C56" s="276" t="e">
        <f ca="1">C13</f>
        <v>#N/A</v>
      </c>
      <c r="D56" s="1913"/>
      <c r="E56" s="1914"/>
      <c r="F56" s="1906"/>
      <c r="I56" s="1915" t="s">
        <v>1546</v>
      </c>
      <c r="J56" s="1916" t="s">
        <v>3023</v>
      </c>
      <c r="K56" s="1886" t="s">
        <v>1547</v>
      </c>
      <c r="L56" s="1889" t="e">
        <f ca="1">IF(L48&lt;J51,"——",L48-J53)</f>
        <v>#N/A</v>
      </c>
      <c r="O56" s="1883" t="s">
        <v>1036</v>
      </c>
      <c r="P56" s="1884" t="s">
        <v>1520</v>
      </c>
      <c r="Q56" s="1885" t="e">
        <f ca="1">C40+J29</f>
        <v>#N/A</v>
      </c>
      <c r="R56" s="1885" t="s">
        <v>1521</v>
      </c>
    </row>
    <row r="57" spans="1:18" s="1841" customFormat="1" ht="24.75" thickBot="1">
      <c r="A57" s="1917"/>
      <c r="B57" s="1169" t="s">
        <v>1470</v>
      </c>
      <c r="C57" s="282" t="e">
        <f ca="1">C29</f>
        <v>#N/A</v>
      </c>
      <c r="D57" s="1918"/>
      <c r="E57" s="1919"/>
      <c r="F57" s="1920"/>
      <c r="I57" s="1921" t="s">
        <v>1548</v>
      </c>
      <c r="J57" s="1922" t="e">
        <f ca="1">IF(OR(M47="住宅",J51&lt;L48,J56="是"),"——",J51-L48)</f>
        <v>#N/A</v>
      </c>
      <c r="K57" s="1886" t="s">
        <v>1549</v>
      </c>
      <c r="L57" s="1889" t="e">
        <f ca="1">IF(L48&lt;J51,"——",IF(L55="比较法",L49,IF(L55="基准地价",L50,L51)))</f>
        <v>#N/A</v>
      </c>
      <c r="O57" s="1883" t="s">
        <v>1037</v>
      </c>
      <c r="P57" s="1884" t="s">
        <v>1550</v>
      </c>
      <c r="Q57" s="1885" t="e">
        <f ca="1">L60</f>
        <v>#N/A</v>
      </c>
      <c r="R57" s="1885" t="s">
        <v>1551</v>
      </c>
    </row>
    <row r="58" spans="1:18" s="1841" customFormat="1" ht="24.75" thickBot="1">
      <c r="A58" s="360" t="s">
        <v>1026</v>
      </c>
      <c r="B58" s="1177" t="s">
        <v>1416</v>
      </c>
      <c r="C58" s="361" t="e">
        <f ca="1">ROUND(C59+C64+C65+C66,0)</f>
        <v>#N/A</v>
      </c>
      <c r="D58" s="1179" t="s">
        <v>1417</v>
      </c>
      <c r="E58" s="1180"/>
      <c r="F58" s="1181"/>
      <c r="I58" s="1921" t="s">
        <v>1552</v>
      </c>
      <c r="J58" s="1923" t="e">
        <f ca="1">IF(J55&lt;0.4,0.4,J55)</f>
        <v>#N/A</v>
      </c>
      <c r="K58" s="1899" t="s">
        <v>1553</v>
      </c>
      <c r="L58" s="1889" t="e">
        <f ca="1">ROUND(POWER(1+L52,L47-L48)*(POWER(1+L52,L48)-1)/(POWER(1+L52,L47)-1),4)</f>
        <v>#N/A</v>
      </c>
      <c r="O58" s="1893" t="s">
        <v>1038</v>
      </c>
      <c r="P58" s="1884" t="s">
        <v>1554</v>
      </c>
      <c r="Q58" s="1885">
        <f>IF(L55="比较法",L49,IF(L55="基准地价",L50,0))</f>
        <v>0</v>
      </c>
      <c r="R58" s="1885" t="s">
        <v>1521</v>
      </c>
    </row>
    <row r="59" spans="1:18" s="1841" customFormat="1" ht="24.75" thickBot="1">
      <c r="A59" s="1201" t="s">
        <v>1031</v>
      </c>
      <c r="B59" s="1169" t="s">
        <v>1421</v>
      </c>
      <c r="C59" s="24" t="e">
        <f ca="1">ROUND(IF(项目基本情况!B11="自然人",C48*F59,C60+C61+C62),1)</f>
        <v>#N/A</v>
      </c>
      <c r="D59" s="1182" t="s">
        <v>1422</v>
      </c>
      <c r="E59" s="1183" t="s">
        <v>1423</v>
      </c>
      <c r="F59" s="368" t="str">
        <f ca="1">IF(项目基本情况!B11="企业","",IF(INDIRECT("'数据-取费表'!c"&amp;$G$1)="住宅",5%,IF(F49*F50*F51/12/(1+'数据-取费表'!C42)&gt;20000,12%,7%)))</f>
        <v/>
      </c>
      <c r="I59" s="1921" t="s">
        <v>1555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1556</v>
      </c>
      <c r="Q59" s="1896">
        <f>L52</f>
        <v>0</v>
      </c>
      <c r="R59" s="1885"/>
    </row>
    <row r="60" spans="1:18" s="1841" customFormat="1" ht="16.5" thickBot="1">
      <c r="A60" s="1201" t="s">
        <v>1030</v>
      </c>
      <c r="B60" s="1169" t="s">
        <v>1425</v>
      </c>
      <c r="C60" s="24" t="e">
        <f ca="1">IF(项目基本情况!B11="自然人","——",ROUND(C48*F60/(1+'数据-取费表'!C42),2))</f>
        <v>#N/A</v>
      </c>
      <c r="D60" s="1183" t="s">
        <v>1426</v>
      </c>
      <c r="E60" s="1169" t="s">
        <v>1414</v>
      </c>
      <c r="F60" s="377">
        <f t="shared" ref="F60:F66" si="0">F32</f>
        <v>5.6000000000000001E-2</v>
      </c>
      <c r="I60" s="1924" t="s">
        <v>1557</v>
      </c>
      <c r="J60" s="1925" t="e">
        <f ca="1">IF(OR(M47="住宅",J51&lt;L48,J56="是"),"0",ROUND(J59/(1+J52)^J53,0))</f>
        <v>#N/A</v>
      </c>
      <c r="K60" s="1926" t="s">
        <v>1558</v>
      </c>
      <c r="L60" s="1925" t="e">
        <f ca="1">IF(OR(M47="住宅",L48&lt;J51),0,ROUND(L57*(L58/L59-1),0))</f>
        <v>#N/A</v>
      </c>
      <c r="O60" s="1893" t="s">
        <v>1040</v>
      </c>
      <c r="P60" s="1884" t="s">
        <v>1559</v>
      </c>
      <c r="Q60" s="1885" t="e">
        <f ca="1">L58</f>
        <v>#N/A</v>
      </c>
      <c r="R60" s="1885" t="s">
        <v>1560</v>
      </c>
    </row>
    <row r="61" spans="1:18" s="1841" customFormat="1" ht="13.5" thickBot="1">
      <c r="A61" s="1201" t="s">
        <v>1484</v>
      </c>
      <c r="B61" s="1169" t="s">
        <v>1485</v>
      </c>
      <c r="C61" s="24" t="e">
        <f ca="1">IF(项目基本情况!B11="自然人","——",IF(D61="按租金收入计税",ROUND(C48*F61,2),IF(D61="按房产原值计税",ROUND(C57*F61*0.7,2),INDIRECT("'数据-取费表'!Aj"&amp;$G$1))))</f>
        <v>#N/A</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#N/A</v>
      </c>
      <c r="R61" s="1885" t="s">
        <v>1561</v>
      </c>
    </row>
    <row r="62" spans="1:18" s="1841" customFormat="1" ht="13.5" thickBot="1">
      <c r="A62" s="1201" t="s">
        <v>1487</v>
      </c>
      <c r="B62" s="1168" t="s">
        <v>1488</v>
      </c>
      <c r="C62" s="25" t="e">
        <f ca="1">IF(项目基本情况!B11="自然人","——",ROUND(F62*F63/10000,2))</f>
        <v>#N/A</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#N/A</v>
      </c>
      <c r="R62" s="1885" t="s">
        <v>1043</v>
      </c>
    </row>
    <row r="63" spans="1:18" s="1841" customFormat="1" ht="13.5" thickBot="1">
      <c r="A63" s="372"/>
      <c r="B63" s="1175"/>
      <c r="C63" s="29"/>
      <c r="D63" s="1185"/>
      <c r="E63" s="1169" t="s">
        <v>1491</v>
      </c>
      <c r="F63" s="348" t="e">
        <f t="shared" ca="1" si="0"/>
        <v>#N/A</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t="e">
        <f ca="1">ROUND(C57*F64,1)</f>
        <v>#N/A</v>
      </c>
      <c r="D64" s="1183" t="s">
        <v>1494</v>
      </c>
      <c r="E64" s="1169" t="s">
        <v>1486</v>
      </c>
      <c r="F64" s="374" t="e">
        <f t="shared" ca="1" si="0"/>
        <v>#N/A</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t="e">
        <f ca="1">ROUND(C56*F65,1)</f>
        <v>#N/A</v>
      </c>
      <c r="D65" s="1183" t="s">
        <v>1446</v>
      </c>
      <c r="E65" s="1169" t="s">
        <v>1447</v>
      </c>
      <c r="F65" s="376" t="e">
        <f t="shared" ca="1" si="0"/>
        <v>#N/A</v>
      </c>
      <c r="I65" s="1928" t="s">
        <v>1571</v>
      </c>
      <c r="J65" s="1929">
        <v>40</v>
      </c>
      <c r="K65" s="1929">
        <v>30</v>
      </c>
      <c r="L65" s="1929">
        <v>50</v>
      </c>
      <c r="M65" s="1931">
        <v>0.02</v>
      </c>
      <c r="O65" s="1883" t="s">
        <v>1036</v>
      </c>
      <c r="P65" s="1884" t="s">
        <v>1572</v>
      </c>
      <c r="Q65" s="1885" t="e">
        <f ca="1">C40+J29</f>
        <v>#N/A</v>
      </c>
      <c r="R65" s="1885" t="s">
        <v>1521</v>
      </c>
    </row>
    <row r="66" spans="1:18" s="1841" customFormat="1" ht="16.5" thickBot="1">
      <c r="A66" s="1201" t="s">
        <v>1496</v>
      </c>
      <c r="B66" s="1169" t="s">
        <v>1431</v>
      </c>
      <c r="C66" s="24" t="e">
        <f ca="1">ROUND(C48*F66,1)</f>
        <v>#N/A</v>
      </c>
      <c r="D66" s="1183" t="s">
        <v>1497</v>
      </c>
      <c r="E66" s="1169" t="s">
        <v>1414</v>
      </c>
      <c r="F66" s="357" t="e">
        <f t="shared" ca="1" si="0"/>
        <v>#N/A</v>
      </c>
      <c r="O66" s="1883" t="s">
        <v>1037</v>
      </c>
      <c r="P66" s="1884" t="s">
        <v>1550</v>
      </c>
      <c r="Q66" s="1885" t="e">
        <f ca="1">L60</f>
        <v>#N/A</v>
      </c>
      <c r="R66" s="1885" t="s">
        <v>1573</v>
      </c>
    </row>
    <row r="67" spans="1:18" s="1841" customFormat="1" ht="16.5" thickBot="1">
      <c r="A67" s="1176" t="s">
        <v>1027</v>
      </c>
      <c r="B67" s="1186" t="s">
        <v>1455</v>
      </c>
      <c r="C67" s="361" t="e">
        <f ca="1">C48-C58</f>
        <v>#N/A</v>
      </c>
      <c r="D67" s="1182" t="s">
        <v>1456</v>
      </c>
      <c r="E67" s="1187"/>
      <c r="F67" s="1188"/>
      <c r="O67" s="1893" t="s">
        <v>1038</v>
      </c>
      <c r="P67" s="1884" t="s">
        <v>1554</v>
      </c>
      <c r="Q67" s="1932" t="e">
        <f ca="1">L51</f>
        <v>#N/A</v>
      </c>
      <c r="R67" s="1885" t="s">
        <v>1574</v>
      </c>
    </row>
    <row r="68" spans="1:18" s="1841" customFormat="1" ht="16.5" thickBot="1">
      <c r="A68" s="1166" t="s">
        <v>1028</v>
      </c>
      <c r="B68" s="1167" t="s">
        <v>1477</v>
      </c>
      <c r="C68" s="346" t="e">
        <f ca="1">ROUND(C67*(1-((1+F70)/(1+F68))^F69)/(F68-F70),0)</f>
        <v>#N/A</v>
      </c>
      <c r="D68" s="1184" t="s">
        <v>1461</v>
      </c>
      <c r="E68" s="1169" t="s">
        <v>1462</v>
      </c>
      <c r="F68" s="357" t="e">
        <f ca="1">F40</f>
        <v>#N/A</v>
      </c>
      <c r="O68" s="1893" t="s">
        <v>1039</v>
      </c>
      <c r="P68" s="1933" t="s">
        <v>1575</v>
      </c>
      <c r="Q68" s="1885" t="e">
        <f ca="1">ROUND(Q69-Q70*Q71,0)</f>
        <v>#N/A</v>
      </c>
      <c r="R68" s="1885" t="s">
        <v>1047</v>
      </c>
    </row>
    <row r="69" spans="1:18" s="1841" customFormat="1" ht="13.5" thickBot="1">
      <c r="A69" s="1170"/>
      <c r="B69" s="1171"/>
      <c r="C69" s="351"/>
      <c r="D69" s="1189" t="s">
        <v>1465</v>
      </c>
      <c r="E69" s="1169" t="s">
        <v>1466</v>
      </c>
      <c r="F69" s="379" t="e">
        <f ca="1">F41</f>
        <v>#N/A</v>
      </c>
      <c r="O69" s="1893" t="s">
        <v>1044</v>
      </c>
      <c r="P69" s="1933" t="s">
        <v>1576</v>
      </c>
      <c r="Q69" s="1885" t="e">
        <f ca="1">C39</f>
        <v>#N/A</v>
      </c>
      <c r="R69" s="1885" t="s">
        <v>1521</v>
      </c>
    </row>
    <row r="70" spans="1:18" s="1841" customFormat="1" ht="13.5" thickBot="1">
      <c r="A70" s="1173"/>
      <c r="B70" s="1174"/>
      <c r="C70" s="355"/>
      <c r="D70" s="1185"/>
      <c r="E70" s="1169" t="s">
        <v>1469</v>
      </c>
      <c r="F70" s="1275"/>
      <c r="O70" s="1893" t="s">
        <v>1045</v>
      </c>
      <c r="P70" s="1933" t="s">
        <v>1577</v>
      </c>
      <c r="Q70" s="1885" t="e">
        <f ca="1">C13</f>
        <v>#N/A</v>
      </c>
      <c r="R70" s="1885" t="s">
        <v>1521</v>
      </c>
    </row>
    <row r="71" spans="1:18" s="1841" customFormat="1" ht="13.5" thickBot="1">
      <c r="A71" s="1190" t="s">
        <v>1029</v>
      </c>
      <c r="B71" s="1191" t="s">
        <v>1479</v>
      </c>
      <c r="C71" s="382" t="e">
        <f ca="1">ROUND(C68*10000/F71,0)</f>
        <v>#N/A</v>
      </c>
      <c r="D71" s="1192" t="s">
        <v>1480</v>
      </c>
      <c r="E71" s="1193" t="s">
        <v>1481</v>
      </c>
      <c r="F71" s="385" t="e">
        <f ca="1">F43</f>
        <v>#N/A</v>
      </c>
      <c r="O71" s="1893" t="s">
        <v>1046</v>
      </c>
      <c r="P71" s="1933" t="s">
        <v>1578</v>
      </c>
      <c r="Q71" s="1896" t="e">
        <f ca="1">C76</f>
        <v>#N/A</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#N/A</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#N/A</v>
      </c>
      <c r="R74" s="1885" t="s">
        <v>1561</v>
      </c>
    </row>
    <row r="75" spans="1:18" ht="13.5" thickBot="1">
      <c r="A75" s="1841"/>
      <c r="B75" s="386" t="s">
        <v>1498</v>
      </c>
      <c r="C75" s="387" t="e">
        <f ca="1">ROUND(C13*C76,0)</f>
        <v>#N/A</v>
      </c>
      <c r="D75" s="1841"/>
      <c r="E75" s="1841"/>
      <c r="F75" s="1841"/>
      <c r="K75" s="1867"/>
      <c r="L75" s="1841"/>
      <c r="O75" s="1883" t="s">
        <v>1042</v>
      </c>
      <c r="P75" s="1884" t="s">
        <v>1541</v>
      </c>
      <c r="Q75" s="1885" t="e">
        <f ca="1">Q65+Q66</f>
        <v>#N/A</v>
      </c>
      <c r="R75" s="1885" t="s">
        <v>1043</v>
      </c>
    </row>
    <row r="76" spans="1:18">
      <c r="B76" s="388" t="s">
        <v>1499</v>
      </c>
      <c r="C76" s="389" t="e">
        <f ca="1">INDIRECT("'数据-取费表'!j"&amp;$G$1)</f>
        <v>#N/A</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#N/A</v>
      </c>
    </row>
    <row r="80" spans="1:18">
      <c r="B80" s="386" t="s">
        <v>1503</v>
      </c>
      <c r="C80" s="318" t="e">
        <f ca="1">ROUND(C75/C39,3)</f>
        <v>#N/A</v>
      </c>
    </row>
    <row r="81" spans="2:3">
      <c r="B81" s="314" t="s">
        <v>1504</v>
      </c>
      <c r="C81" s="282"/>
    </row>
    <row r="82" spans="2:3">
      <c r="B82" s="317" t="s">
        <v>1505</v>
      </c>
      <c r="C82" s="319" t="e">
        <f ca="1">1-C83</f>
        <v>#N/A</v>
      </c>
    </row>
    <row r="83" spans="2:3">
      <c r="B83" s="317" t="s">
        <v>1506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1" t="s">
        <v>1395</v>
      </c>
      <c r="C6" s="1296">
        <f ca="1">ROUND(F6*F8*F7*(1-F9),0)</f>
        <v>0</v>
      </c>
      <c r="D6" s="164" t="s">
        <v>2978</v>
      </c>
      <c r="E6" s="347" t="s">
        <v>1397</v>
      </c>
      <c r="F6" s="348">
        <f ca="1">INDIRECT("'数据-取费表'!u"&amp;$G$1)</f>
        <v>0</v>
      </c>
      <c r="G6" s="1850"/>
      <c r="H6" s="1291" t="s">
        <v>1031</v>
      </c>
      <c r="I6" s="3241" t="s">
        <v>1395</v>
      </c>
      <c r="J6" s="346">
        <f ca="1">ROUND(M6*M8*M7*(1-M9),0)</f>
        <v>0</v>
      </c>
      <c r="K6" s="1833" t="s">
        <v>2979</v>
      </c>
      <c r="L6" s="347" t="s">
        <v>1397</v>
      </c>
      <c r="M6" s="348">
        <f ca="1">INDIRECT("'数据-取费表'!z"&amp;$G$1)</f>
        <v>0</v>
      </c>
    </row>
    <row r="7" spans="1:37" ht="18" customHeight="1">
      <c r="A7" s="1295"/>
      <c r="B7" s="3242"/>
      <c r="C7" s="1297"/>
      <c r="D7" s="352"/>
      <c r="E7" s="1298" t="s">
        <v>1398</v>
      </c>
      <c r="F7" s="348">
        <f ca="1">IF(INDIRECT("'数据-取费表'!ah"&amp;$G$1)="",INDIRECT("'数据-取费表'!k"&amp;$G$1),INDIRECT("'数据-取费表'!ah"&amp;$G$1))</f>
        <v>0</v>
      </c>
      <c r="G7" s="1850"/>
      <c r="H7" s="349"/>
      <c r="I7" s="3242"/>
      <c r="J7" s="351"/>
      <c r="K7" s="352"/>
      <c r="L7" s="347" t="s">
        <v>1398</v>
      </c>
      <c r="M7" s="348">
        <f ca="1">F7</f>
        <v>0</v>
      </c>
    </row>
    <row r="8" spans="1:37" ht="18" customHeight="1">
      <c r="A8" s="349"/>
      <c r="B8" s="3242"/>
      <c r="C8" s="351"/>
      <c r="D8" s="352"/>
      <c r="E8" s="347" t="s">
        <v>1399</v>
      </c>
      <c r="F8" s="348">
        <f ca="1">INDIRECT("'数据-取费表'!ai"&amp;$G$1)</f>
        <v>0</v>
      </c>
      <c r="G8" s="1850"/>
      <c r="H8" s="349"/>
      <c r="I8" s="3242"/>
      <c r="J8" s="351"/>
      <c r="K8" s="352"/>
      <c r="L8" s="347" t="s">
        <v>1399</v>
      </c>
      <c r="M8" s="348">
        <f ca="1">INDIRECT("'数据-取费表'!ai"&amp;$G$1)</f>
        <v>0</v>
      </c>
    </row>
    <row r="9" spans="1:37" ht="18" customHeight="1">
      <c r="A9" s="349"/>
      <c r="B9" s="3243"/>
      <c r="C9" s="351"/>
      <c r="D9" s="352"/>
      <c r="E9" s="347" t="s">
        <v>1400</v>
      </c>
      <c r="F9" s="357">
        <f ca="1">INDIRECT("'数据-取费表'!w"&amp;$G$1)</f>
        <v>0</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5.0000000000000001E-4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9" t="s">
        <v>1540</v>
      </c>
      <c r="L53" s="324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785</v>
      </c>
      <c r="C2" s="2565" t="s">
        <v>2469</v>
      </c>
      <c r="D2" s="2566" t="s">
        <v>2470</v>
      </c>
      <c r="E2" s="2567">
        <f>SUM(E6:E13)</f>
        <v>1164.32</v>
      </c>
    </row>
    <row r="3" spans="1:6" ht="15.75">
      <c r="A3" s="2563" t="s">
        <v>1387</v>
      </c>
      <c r="B3" s="2564">
        <f ca="1">ROUND(B2*10000/E2,0)</f>
        <v>6742</v>
      </c>
      <c r="C3" s="2565" t="s">
        <v>2477</v>
      </c>
      <c r="D3" s="2568"/>
      <c r="E3" s="2569"/>
    </row>
    <row r="4" spans="1:6" ht="15.75">
      <c r="A4" s="2570"/>
      <c r="B4" s="2568"/>
      <c r="C4" s="2568"/>
      <c r="D4" s="2568"/>
      <c r="E4" s="2569"/>
    </row>
    <row r="5" spans="1:6" ht="15">
      <c r="A5" s="2571" t="s">
        <v>2471</v>
      </c>
      <c r="B5" s="3244" t="s">
        <v>2472</v>
      </c>
      <c r="C5" s="3244"/>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收益法-地下车库</v>
      </c>
      <c r="B7" s="2574">
        <f ca="1">IF(F7="是",'数据-取费表'!AO7,0)</f>
        <v>785</v>
      </c>
      <c r="C7" s="2565" t="s">
        <v>2469</v>
      </c>
      <c r="D7" s="2568"/>
      <c r="E7" s="2576">
        <f>IF(OR(A7=0,F7="否"),0,'数据-取费表'!K7+'数据-取费表'!S7)</f>
        <v>1164.32</v>
      </c>
      <c r="F7" s="2577" t="s">
        <v>2475</v>
      </c>
    </row>
    <row r="8" spans="1:6">
      <c r="A8" s="2575">
        <f>'数据-取费表'!AN8</f>
        <v>0</v>
      </c>
      <c r="B8" s="2574" t="e">
        <f ca="1">IF(F8="是",'数据-取费表'!AO8,0)</f>
        <v>#REF!</v>
      </c>
      <c r="C8" s="2565" t="s">
        <v>2469</v>
      </c>
      <c r="D8" s="2568"/>
      <c r="E8" s="2576">
        <f>IF(OR(A8=0,F8="否"),0,'数据-取费表'!K8+'数据-取费表'!S8)</f>
        <v>0</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61" t="s">
        <v>1072</v>
      </c>
      <c r="B1" s="3262"/>
      <c r="C1" s="3263"/>
      <c r="D1" s="3264">
        <f>SUM(I10,I15,I20,I21,I23)</f>
        <v>0</v>
      </c>
      <c r="E1" s="3264"/>
      <c r="F1" s="3264"/>
      <c r="G1" s="3264"/>
      <c r="H1" s="3264"/>
      <c r="I1" s="3265"/>
    </row>
    <row r="2" spans="1:9">
      <c r="A2" s="3251" t="s">
        <v>1073</v>
      </c>
      <c r="B2" s="3252" t="s">
        <v>1074</v>
      </c>
      <c r="C2" s="3252"/>
      <c r="D2" s="1301" t="s">
        <v>1075</v>
      </c>
      <c r="E2" s="1301" t="s">
        <v>1076</v>
      </c>
      <c r="F2" s="1301" t="s">
        <v>1077</v>
      </c>
      <c r="G2" s="1301" t="s">
        <v>1078</v>
      </c>
      <c r="H2" s="1301" t="s">
        <v>1079</v>
      </c>
      <c r="I2" s="1302" t="s">
        <v>1080</v>
      </c>
    </row>
    <row r="3" spans="1:9">
      <c r="A3" s="3251"/>
      <c r="B3" s="3252" t="s">
        <v>1081</v>
      </c>
      <c r="C3" s="3252"/>
      <c r="D3" s="1303"/>
      <c r="E3" s="1301"/>
      <c r="F3" s="1304"/>
      <c r="G3" s="1304"/>
      <c r="H3" s="1305"/>
      <c r="I3" s="1306">
        <f>ROUND(D3*E3*F3*G3*H3/10000,0)</f>
        <v>0</v>
      </c>
    </row>
    <row r="4" spans="1:9">
      <c r="A4" s="3251"/>
      <c r="B4" s="3252" t="s">
        <v>1082</v>
      </c>
      <c r="C4" s="3252"/>
      <c r="D4" s="1303"/>
      <c r="E4" s="1301"/>
      <c r="F4" s="1304"/>
      <c r="G4" s="1304"/>
      <c r="H4" s="1305"/>
      <c r="I4" s="1306">
        <f t="shared" ref="I4:I9" si="0">ROUND(D4*E4*F4*G4*H4/10000,0)</f>
        <v>0</v>
      </c>
    </row>
    <row r="5" spans="1:9">
      <c r="A5" s="3251"/>
      <c r="B5" s="3252" t="s">
        <v>1083</v>
      </c>
      <c r="C5" s="3252"/>
      <c r="D5" s="1303"/>
      <c r="E5" s="1301"/>
      <c r="F5" s="1304"/>
      <c r="G5" s="1304"/>
      <c r="H5" s="1305"/>
      <c r="I5" s="1306">
        <f t="shared" si="0"/>
        <v>0</v>
      </c>
    </row>
    <row r="6" spans="1:9">
      <c r="A6" s="3251"/>
      <c r="B6" s="3252" t="s">
        <v>1084</v>
      </c>
      <c r="C6" s="3252"/>
      <c r="D6" s="1303"/>
      <c r="E6" s="1301"/>
      <c r="F6" s="1304"/>
      <c r="G6" s="1304"/>
      <c r="H6" s="1305"/>
      <c r="I6" s="1306">
        <f t="shared" si="0"/>
        <v>0</v>
      </c>
    </row>
    <row r="7" spans="1:9">
      <c r="A7" s="3251"/>
      <c r="B7" s="3252" t="s">
        <v>1085</v>
      </c>
      <c r="C7" s="3252"/>
      <c r="D7" s="1303"/>
      <c r="E7" s="1301"/>
      <c r="F7" s="1304"/>
      <c r="G7" s="1304"/>
      <c r="H7" s="1305"/>
      <c r="I7" s="1306">
        <f t="shared" si="0"/>
        <v>0</v>
      </c>
    </row>
    <row r="8" spans="1:9">
      <c r="A8" s="3251"/>
      <c r="B8" s="3252" t="s">
        <v>1086</v>
      </c>
      <c r="C8" s="3252"/>
      <c r="D8" s="1303"/>
      <c r="E8" s="1301"/>
      <c r="F8" s="1304"/>
      <c r="G8" s="1304"/>
      <c r="H8" s="1305"/>
      <c r="I8" s="1306">
        <f t="shared" si="0"/>
        <v>0</v>
      </c>
    </row>
    <row r="9" spans="1:9">
      <c r="A9" s="3251"/>
      <c r="B9" s="3252" t="s">
        <v>1087</v>
      </c>
      <c r="C9" s="3252"/>
      <c r="D9" s="1303"/>
      <c r="E9" s="1301"/>
      <c r="F9" s="1304"/>
      <c r="G9" s="1304"/>
      <c r="H9" s="1305"/>
      <c r="I9" s="1306">
        <f t="shared" si="0"/>
        <v>0</v>
      </c>
    </row>
    <row r="10" spans="1:9">
      <c r="A10" s="3251"/>
      <c r="B10" s="3253" t="s">
        <v>1088</v>
      </c>
      <c r="C10" s="3253"/>
      <c r="D10" s="1307"/>
      <c r="E10" s="1307" t="e">
        <f>ROUND(D1*10000/D10/H9,0)</f>
        <v>#DIV/0!</v>
      </c>
      <c r="F10" s="1308"/>
      <c r="G10" s="1308"/>
      <c r="H10" s="1309"/>
      <c r="I10" s="1310">
        <f>SUM(I3:I9)</f>
        <v>0</v>
      </c>
    </row>
    <row r="11" spans="1:9" ht="14.25">
      <c r="A11" s="3251" t="s">
        <v>1089</v>
      </c>
      <c r="B11" s="3252" t="s">
        <v>1090</v>
      </c>
      <c r="C11" s="3252"/>
      <c r="D11" s="1303" t="s">
        <v>1091</v>
      </c>
      <c r="E11" s="1303" t="s">
        <v>1092</v>
      </c>
      <c r="F11" s="1304" t="s">
        <v>1093</v>
      </c>
      <c r="G11" s="1304" t="s">
        <v>1079</v>
      </c>
      <c r="H11" s="1311" t="s">
        <v>1094</v>
      </c>
      <c r="I11" s="1302" t="s">
        <v>1080</v>
      </c>
    </row>
    <row r="12" spans="1:9">
      <c r="A12" s="3251"/>
      <c r="B12" s="3252" t="s">
        <v>1095</v>
      </c>
      <c r="C12" s="3252"/>
      <c r="D12" s="1303"/>
      <c r="E12" s="1303"/>
      <c r="F12" s="1304"/>
      <c r="G12" s="1305"/>
      <c r="H12" s="1312"/>
      <c r="I12" s="1302">
        <f>ROUND(D12*E12*F12*G12/10000,0)</f>
        <v>0</v>
      </c>
    </row>
    <row r="13" spans="1:9">
      <c r="A13" s="3251"/>
      <c r="B13" s="3252" t="s">
        <v>1096</v>
      </c>
      <c r="C13" s="3252"/>
      <c r="D13" s="1303"/>
      <c r="E13" s="1303"/>
      <c r="F13" s="1304"/>
      <c r="G13" s="1305"/>
      <c r="H13" s="1312"/>
      <c r="I13" s="1302">
        <f>ROUND(D13*E13*F13*G13/10000,0)</f>
        <v>0</v>
      </c>
    </row>
    <row r="14" spans="1:9">
      <c r="A14" s="3251"/>
      <c r="B14" s="3252" t="s">
        <v>1097</v>
      </c>
      <c r="C14" s="3252"/>
      <c r="D14" s="1303"/>
      <c r="E14" s="1303"/>
      <c r="F14" s="1304"/>
      <c r="G14" s="1305"/>
      <c r="H14" s="1312"/>
      <c r="I14" s="1302">
        <f>ROUND(D14*E14*F14*G14/10000,0)</f>
        <v>0</v>
      </c>
    </row>
    <row r="15" spans="1:9">
      <c r="A15" s="3251"/>
      <c r="B15" s="3253" t="s">
        <v>1088</v>
      </c>
      <c r="C15" s="3253"/>
      <c r="D15" s="1307"/>
      <c r="E15" s="1307">
        <f>SUM(E12:E14)</f>
        <v>0</v>
      </c>
      <c r="F15" s="1308"/>
      <c r="G15" s="1305"/>
      <c r="H15" s="1312"/>
      <c r="I15" s="1313">
        <f>SUM(I12:I14)</f>
        <v>0</v>
      </c>
    </row>
    <row r="16" spans="1:9" ht="24">
      <c r="A16" s="3251" t="s">
        <v>1098</v>
      </c>
      <c r="B16" s="3252" t="s">
        <v>1099</v>
      </c>
      <c r="C16" s="3252"/>
      <c r="D16" s="1303" t="s">
        <v>1075</v>
      </c>
      <c r="E16" s="1314" t="s">
        <v>1100</v>
      </c>
      <c r="F16" s="1304" t="s">
        <v>1101</v>
      </c>
      <c r="G16" s="1305" t="s">
        <v>1079</v>
      </c>
      <c r="H16" s="1311" t="s">
        <v>1094</v>
      </c>
      <c r="I16" s="1302" t="s">
        <v>1080</v>
      </c>
    </row>
    <row r="17" spans="1:9" ht="14.25">
      <c r="A17" s="3251"/>
      <c r="B17" s="3252" t="s">
        <v>1102</v>
      </c>
      <c r="C17" s="3252"/>
      <c r="D17" s="1303"/>
      <c r="E17" s="1303"/>
      <c r="F17" s="1304"/>
      <c r="G17" s="1305"/>
      <c r="H17" s="1315"/>
      <c r="I17" s="1316">
        <f>ROUND(D17*E17*F17*G17/10000,0)</f>
        <v>0</v>
      </c>
    </row>
    <row r="18" spans="1:9" ht="14.25">
      <c r="A18" s="3251"/>
      <c r="B18" s="3252" t="s">
        <v>1103</v>
      </c>
      <c r="C18" s="3252"/>
      <c r="D18" s="1303"/>
      <c r="E18" s="1303"/>
      <c r="F18" s="1304"/>
      <c r="G18" s="1305"/>
      <c r="H18" s="1315"/>
      <c r="I18" s="1316">
        <f>ROUND(D18*E18*F18*G18/10000,0)</f>
        <v>0</v>
      </c>
    </row>
    <row r="19" spans="1:9" ht="14.25">
      <c r="A19" s="3251"/>
      <c r="B19" s="3252" t="s">
        <v>1104</v>
      </c>
      <c r="C19" s="3252"/>
      <c r="D19" s="1303"/>
      <c r="E19" s="1303"/>
      <c r="F19" s="1304"/>
      <c r="G19" s="1305"/>
      <c r="H19" s="1315"/>
      <c r="I19" s="1316">
        <f>ROUND(D19*E19*F19*G19/10000,0)</f>
        <v>0</v>
      </c>
    </row>
    <row r="20" spans="1:9">
      <c r="A20" s="3251"/>
      <c r="B20" s="3253" t="s">
        <v>1088</v>
      </c>
      <c r="C20" s="3253"/>
      <c r="D20" s="1307">
        <f>SUM(D17:D19)</f>
        <v>0</v>
      </c>
      <c r="E20" s="1307"/>
      <c r="F20" s="1308"/>
      <c r="G20" s="1305"/>
      <c r="H20" s="1312"/>
      <c r="I20" s="1313">
        <f>SUM(I17:I19)</f>
        <v>0</v>
      </c>
    </row>
    <row r="21" spans="1:9">
      <c r="A21" s="3251" t="s">
        <v>1105</v>
      </c>
      <c r="B21" s="3254"/>
      <c r="C21" s="3254"/>
      <c r="D21" s="3254"/>
      <c r="E21" s="3254"/>
      <c r="F21" s="3254"/>
      <c r="G21" s="3254"/>
      <c r="H21" s="1764">
        <v>0.1</v>
      </c>
      <c r="I21" s="1310">
        <f>ROUND(I10*H21,0)</f>
        <v>0</v>
      </c>
    </row>
    <row r="22" spans="1:9" ht="14.25">
      <c r="A22" s="3255" t="s">
        <v>1106</v>
      </c>
      <c r="B22" s="3256"/>
      <c r="C22" s="3257"/>
      <c r="D22" s="1317" t="s">
        <v>1107</v>
      </c>
      <c r="E22" s="1317" t="s">
        <v>1108</v>
      </c>
      <c r="F22" s="1318" t="s">
        <v>1109</v>
      </c>
      <c r="G22" s="1318" t="s">
        <v>1110</v>
      </c>
      <c r="H22" s="1311" t="s">
        <v>1111</v>
      </c>
      <c r="I22" s="1302" t="s">
        <v>1112</v>
      </c>
    </row>
    <row r="23" spans="1:9" ht="14.25" thickBot="1">
      <c r="A23" s="3258"/>
      <c r="B23" s="3259"/>
      <c r="C23" s="3260"/>
      <c r="D23" s="1319"/>
      <c r="E23" s="1319"/>
      <c r="F23" s="1319"/>
      <c r="G23" s="1320"/>
      <c r="H23" s="1321"/>
      <c r="I23" s="1322">
        <f>ROUND(E23*D23*F23*(1-G23)/10000,0)</f>
        <v>0</v>
      </c>
    </row>
    <row r="26" spans="1:9">
      <c r="A26" s="1323" t="s">
        <v>1113</v>
      </c>
      <c r="B26" s="1323"/>
      <c r="C26" s="1323"/>
      <c r="D26" s="1323"/>
      <c r="E26" s="3248">
        <f>C27-C30-C31-C32</f>
        <v>0</v>
      </c>
      <c r="F26" s="3248"/>
      <c r="G26" s="3248"/>
      <c r="H26" s="1736" t="s">
        <v>1332</v>
      </c>
    </row>
    <row r="27" spans="1:9">
      <c r="A27" s="1324">
        <v>1</v>
      </c>
      <c r="B27" s="1325" t="s">
        <v>1114</v>
      </c>
      <c r="C27" s="1325">
        <f>C28+C29</f>
        <v>0</v>
      </c>
      <c r="D27" s="1325"/>
      <c r="E27" s="3249"/>
      <c r="F27" s="3249"/>
      <c r="G27" s="3249"/>
    </row>
    <row r="28" spans="1:9">
      <c r="A28" s="1326" t="s">
        <v>1115</v>
      </c>
      <c r="B28" s="1325" t="s">
        <v>1116</v>
      </c>
      <c r="C28" s="1325"/>
      <c r="D28" s="1325"/>
      <c r="E28" s="3249"/>
      <c r="F28" s="3249"/>
      <c r="G28" s="32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0"/>
      <c r="F32" s="3250"/>
      <c r="G32" s="3250"/>
    </row>
    <row r="33" spans="1:7" hidden="1">
      <c r="A33" s="3245" t="s">
        <v>1125</v>
      </c>
      <c r="B33" s="3246"/>
      <c r="C33" s="3246"/>
      <c r="D33" s="3247"/>
      <c r="E33" s="3248"/>
      <c r="F33" s="3248"/>
      <c r="G33" s="3248"/>
    </row>
    <row r="34" spans="1:7" hidden="1">
      <c r="A34" s="1328">
        <v>1</v>
      </c>
      <c r="B34" s="1325" t="s">
        <v>1126</v>
      </c>
      <c r="C34" s="1325"/>
      <c r="D34" s="1325"/>
      <c r="E34" s="3249"/>
      <c r="F34" s="3249"/>
      <c r="G34" s="3249"/>
    </row>
    <row r="35" spans="1:7" hidden="1">
      <c r="A35" s="1328">
        <v>2</v>
      </c>
      <c r="B35" s="1325" t="s">
        <v>1127</v>
      </c>
      <c r="C35" s="1325"/>
      <c r="D35" s="1325"/>
      <c r="E35" s="3249"/>
      <c r="F35" s="3249"/>
      <c r="G35" s="3249"/>
    </row>
    <row r="36" spans="1:7" hidden="1">
      <c r="A36" s="1328">
        <v>3</v>
      </c>
      <c r="B36" s="1325" t="s">
        <v>1128</v>
      </c>
      <c r="C36" s="1325"/>
      <c r="D36" s="1325"/>
      <c r="E36" s="3249"/>
      <c r="F36" s="3249"/>
      <c r="G36" s="3249"/>
    </row>
    <row r="37" spans="1:7" hidden="1">
      <c r="A37" s="1328">
        <v>4</v>
      </c>
      <c r="B37" s="1325" t="s">
        <v>1129</v>
      </c>
      <c r="C37" s="1325"/>
      <c r="D37" s="1325"/>
      <c r="E37" s="3249"/>
      <c r="F37" s="3249"/>
      <c r="G37" s="3249"/>
    </row>
    <row r="38" spans="1:7" hidden="1">
      <c r="A38" s="3245" t="s">
        <v>1130</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2323.5299999999997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5" t="s">
        <v>2597</v>
      </c>
      <c r="AC4" s="3196" t="s">
        <v>2598</v>
      </c>
    </row>
    <row r="5" spans="1:29" ht="15">
      <c r="A5" s="404"/>
      <c r="B5" s="405"/>
      <c r="C5" s="3216" t="s">
        <v>2492</v>
      </c>
      <c r="D5" s="3217"/>
      <c r="E5" s="3224" t="s">
        <v>2493</v>
      </c>
      <c r="F5" s="3225"/>
      <c r="G5" s="3216" t="s">
        <v>2494</v>
      </c>
      <c r="H5" s="3217"/>
      <c r="I5" s="3216" t="s">
        <v>2495</v>
      </c>
      <c r="J5" s="3217"/>
      <c r="K5" s="610"/>
      <c r="L5" s="1130"/>
      <c r="M5" s="1131"/>
      <c r="N5" s="1131"/>
      <c r="O5" s="1131"/>
      <c r="P5" s="3204"/>
      <c r="Q5" s="3205"/>
      <c r="R5" s="3210"/>
      <c r="S5" s="3211"/>
      <c r="T5" s="3210"/>
      <c r="U5" s="3211"/>
      <c r="V5" s="3195"/>
      <c r="W5" s="3195"/>
      <c r="X5" s="1812"/>
      <c r="Y5" s="3210"/>
      <c r="Z5" s="3211"/>
      <c r="AA5" s="3197"/>
      <c r="AB5" s="3195"/>
      <c r="AC5" s="3197"/>
    </row>
    <row r="6" spans="1:29" ht="15.75" thickBot="1">
      <c r="A6" s="406"/>
      <c r="B6" s="407"/>
      <c r="C6" s="3214" t="s">
        <v>2496</v>
      </c>
      <c r="D6" s="3215"/>
      <c r="E6" s="3222" t="s">
        <v>2496</v>
      </c>
      <c r="F6" s="3223"/>
      <c r="G6" s="3214" t="s">
        <v>2496</v>
      </c>
      <c r="H6" s="3215"/>
      <c r="I6" s="3214" t="s">
        <v>2496</v>
      </c>
      <c r="J6" s="3215"/>
      <c r="K6" s="610" t="s">
        <v>2497</v>
      </c>
      <c r="L6" s="1130"/>
      <c r="M6" s="1131"/>
      <c r="N6" s="1131"/>
      <c r="O6" s="1131"/>
      <c r="P6" s="3206"/>
      <c r="Q6" s="3207"/>
      <c r="R6" s="3210"/>
      <c r="S6" s="3211"/>
      <c r="T6" s="3212"/>
      <c r="U6" s="3213"/>
      <c r="V6" s="3195"/>
      <c r="W6" s="3195"/>
      <c r="X6" s="1812"/>
      <c r="Y6" s="3212"/>
      <c r="Z6" s="3213"/>
      <c r="AA6" s="3198"/>
      <c r="AB6" s="3195"/>
      <c r="AC6" s="3198"/>
    </row>
    <row r="7" spans="1:29" s="117" customFormat="1" ht="15.75" thickBot="1">
      <c r="A7" s="408" t="s">
        <v>2498</v>
      </c>
      <c r="B7" s="409"/>
      <c r="C7" s="410">
        <f>'数据-取费表'!B2</f>
        <v>43871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2499</v>
      </c>
      <c r="Q7" s="3220"/>
      <c r="R7" s="770" t="s">
        <v>17</v>
      </c>
      <c r="S7" s="771">
        <f t="shared" ref="S7:S15" si="0">F7</f>
        <v>0</v>
      </c>
      <c r="T7" s="770" t="s">
        <v>17</v>
      </c>
      <c r="U7" s="771">
        <f t="shared" ref="U7:U15" si="1">H7</f>
        <v>0</v>
      </c>
      <c r="V7" s="770" t="s">
        <v>17</v>
      </c>
      <c r="W7" s="771">
        <f t="shared" ref="W7:W15" si="2">J7</f>
        <v>0</v>
      </c>
      <c r="X7" s="772"/>
      <c r="Y7" s="3218" t="s">
        <v>2499</v>
      </c>
      <c r="Z7" s="3219"/>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2502</v>
      </c>
      <c r="Q8" s="3219"/>
      <c r="R8" s="770" t="s">
        <v>17</v>
      </c>
      <c r="S8" s="771">
        <f t="shared" si="0"/>
        <v>0</v>
      </c>
      <c r="T8" s="770" t="s">
        <v>17</v>
      </c>
      <c r="U8" s="771">
        <f t="shared" si="1"/>
        <v>0</v>
      </c>
      <c r="V8" s="770" t="s">
        <v>17</v>
      </c>
      <c r="W8" s="771">
        <f t="shared" si="2"/>
        <v>0</v>
      </c>
      <c r="X8" s="772"/>
      <c r="Y8" s="3218" t="s">
        <v>2502</v>
      </c>
      <c r="Z8" s="3219"/>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5" t="s">
        <v>2510</v>
      </c>
      <c r="Q15" s="1809" t="str">
        <f t="shared" si="6"/>
        <v>商业繁华度</v>
      </c>
      <c r="R15" s="774" t="s">
        <v>17</v>
      </c>
      <c r="S15" s="775">
        <f t="shared" si="0"/>
        <v>100</v>
      </c>
      <c r="T15" s="774" t="s">
        <v>17</v>
      </c>
      <c r="U15" s="775">
        <f t="shared" si="1"/>
        <v>100</v>
      </c>
      <c r="V15" s="774" t="s">
        <v>17</v>
      </c>
      <c r="W15" s="775">
        <f t="shared" si="2"/>
        <v>100</v>
      </c>
      <c r="X15" s="1812"/>
      <c r="Y15" s="3191"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6"/>
      <c r="Q16" s="1809"/>
      <c r="R16" s="774"/>
      <c r="S16" s="775"/>
      <c r="T16" s="774"/>
      <c r="U16" s="775"/>
      <c r="V16" s="774"/>
      <c r="W16" s="775"/>
      <c r="X16" s="1812"/>
      <c r="Y16" s="3192"/>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6"/>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6"/>
      <c r="Q18" s="1809"/>
      <c r="R18" s="774"/>
      <c r="S18" s="775"/>
      <c r="T18" s="774"/>
      <c r="U18" s="775"/>
      <c r="V18" s="774"/>
      <c r="W18" s="775"/>
      <c r="X18" s="1812"/>
      <c r="Y18" s="3192"/>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6"/>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6"/>
      <c r="Q20" s="1809"/>
      <c r="R20" s="774"/>
      <c r="S20" s="775"/>
      <c r="T20" s="774"/>
      <c r="U20" s="775"/>
      <c r="V20" s="774"/>
      <c r="W20" s="775"/>
      <c r="X20" s="1812"/>
      <c r="Y20" s="3192"/>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6"/>
      <c r="Q22" s="1809"/>
      <c r="R22" s="774"/>
      <c r="S22" s="775"/>
      <c r="T22" s="774"/>
      <c r="U22" s="775"/>
      <c r="V22" s="774"/>
      <c r="W22" s="775"/>
      <c r="X22" s="1812"/>
      <c r="Y22" s="3192"/>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6"/>
      <c r="Q23" s="1809" t="str">
        <f>B23</f>
        <v>自然及人文环境</v>
      </c>
      <c r="R23" s="774" t="s">
        <v>17</v>
      </c>
      <c r="S23" s="775">
        <f>F23</f>
        <v>100</v>
      </c>
      <c r="T23" s="774" t="s">
        <v>17</v>
      </c>
      <c r="U23" s="775">
        <f>H23</f>
        <v>100</v>
      </c>
      <c r="V23" s="774" t="s">
        <v>17</v>
      </c>
      <c r="W23" s="775">
        <f>J23</f>
        <v>100</v>
      </c>
      <c r="X23" s="1812"/>
      <c r="Y23" s="3192"/>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6"/>
      <c r="Q24" s="1809"/>
      <c r="R24" s="774"/>
      <c r="S24" s="775"/>
      <c r="T24" s="774"/>
      <c r="U24" s="775"/>
      <c r="V24" s="774"/>
      <c r="W24" s="775"/>
      <c r="X24" s="1812"/>
      <c r="Y24" s="3192"/>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6"/>
      <c r="Q25" s="1809" t="str">
        <f t="shared" ref="Q25:Q46" si="11">B25</f>
        <v>临街状况</v>
      </c>
      <c r="R25" s="774" t="s">
        <v>17</v>
      </c>
      <c r="S25" s="775">
        <f>F25</f>
        <v>100</v>
      </c>
      <c r="T25" s="774" t="s">
        <v>17</v>
      </c>
      <c r="U25" s="775">
        <f>H25</f>
        <v>100</v>
      </c>
      <c r="V25" s="774" t="s">
        <v>17</v>
      </c>
      <c r="W25" s="775">
        <f>J25</f>
        <v>100</v>
      </c>
      <c r="X25" s="1812"/>
      <c r="Y25" s="3192"/>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6"/>
      <c r="Q26" s="1809" t="str">
        <f t="shared" si="11"/>
        <v>平面位置/可视性</v>
      </c>
      <c r="R26" s="774" t="s">
        <v>17</v>
      </c>
      <c r="S26" s="775">
        <f>F26</f>
        <v>100</v>
      </c>
      <c r="T26" s="774" t="s">
        <v>17</v>
      </c>
      <c r="U26" s="775">
        <f>H26</f>
        <v>100</v>
      </c>
      <c r="V26" s="774" t="s">
        <v>17</v>
      </c>
      <c r="W26" s="775">
        <f>J26</f>
        <v>100</v>
      </c>
      <c r="X26" s="1812"/>
      <c r="Y26" s="3192"/>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6"/>
      <c r="Q27" s="1794" t="str">
        <f t="shared" si="11"/>
        <v>人流量</v>
      </c>
      <c r="R27" s="770" t="s">
        <v>17</v>
      </c>
      <c r="S27" s="771">
        <f>F27</f>
        <v>100</v>
      </c>
      <c r="T27" s="770" t="s">
        <v>17</v>
      </c>
      <c r="U27" s="771">
        <f>H27</f>
        <v>100</v>
      </c>
      <c r="V27" s="770" t="s">
        <v>17</v>
      </c>
      <c r="W27" s="771">
        <f>J27</f>
        <v>100</v>
      </c>
      <c r="X27" s="772"/>
      <c r="Y27" s="3192"/>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6"/>
      <c r="Q29" s="1809">
        <f t="shared" si="11"/>
        <v>111</v>
      </c>
      <c r="R29" s="774" t="s">
        <v>17</v>
      </c>
      <c r="S29" s="775">
        <f t="shared" si="12"/>
        <v>100</v>
      </c>
      <c r="T29" s="774" t="s">
        <v>17</v>
      </c>
      <c r="U29" s="775">
        <f t="shared" si="13"/>
        <v>100</v>
      </c>
      <c r="V29" s="774" t="s">
        <v>17</v>
      </c>
      <c r="W29" s="775">
        <f t="shared" si="14"/>
        <v>100</v>
      </c>
      <c r="X29" s="1812"/>
      <c r="Y29" s="319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6"/>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6"/>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1" t="s">
        <v>2515</v>
      </c>
      <c r="Q32" s="1809" t="str">
        <f t="shared" si="11"/>
        <v>商业类型</v>
      </c>
      <c r="R32" s="774" t="s">
        <v>17</v>
      </c>
      <c r="S32" s="775">
        <f t="shared" si="12"/>
        <v>100</v>
      </c>
      <c r="T32" s="774" t="s">
        <v>17</v>
      </c>
      <c r="U32" s="775">
        <f t="shared" si="13"/>
        <v>100</v>
      </c>
      <c r="V32" s="774" t="s">
        <v>17</v>
      </c>
      <c r="W32" s="775">
        <f t="shared" si="14"/>
        <v>100</v>
      </c>
      <c r="X32" s="1812"/>
      <c r="Y32" s="3194"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2"/>
      <c r="Q34" s="1809" t="str">
        <f t="shared" si="11"/>
        <v>建筑结构</v>
      </c>
      <c r="R34" s="774" t="s">
        <v>17</v>
      </c>
      <c r="S34" s="775">
        <f t="shared" si="12"/>
        <v>100</v>
      </c>
      <c r="T34" s="774" t="s">
        <v>17</v>
      </c>
      <c r="U34" s="775">
        <f t="shared" si="13"/>
        <v>100</v>
      </c>
      <c r="V34" s="774" t="s">
        <v>17</v>
      </c>
      <c r="W34" s="775">
        <f t="shared" si="14"/>
        <v>100</v>
      </c>
      <c r="X34" s="1812"/>
      <c r="Y34" s="3194"/>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2"/>
      <c r="Q35" s="1809" t="str">
        <f t="shared" si="11"/>
        <v>公共部分装修</v>
      </c>
      <c r="R35" s="774" t="s">
        <v>17</v>
      </c>
      <c r="S35" s="775">
        <f t="shared" si="12"/>
        <v>100</v>
      </c>
      <c r="T35" s="774" t="s">
        <v>17</v>
      </c>
      <c r="U35" s="775">
        <f t="shared" si="13"/>
        <v>100</v>
      </c>
      <c r="V35" s="774" t="s">
        <v>17</v>
      </c>
      <c r="W35" s="775">
        <f t="shared" si="14"/>
        <v>100</v>
      </c>
      <c r="X35" s="1812"/>
      <c r="Y35" s="3194"/>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9" t="str">
        <f t="shared" si="11"/>
        <v>成新度</v>
      </c>
      <c r="R36" s="774" t="s">
        <v>17</v>
      </c>
      <c r="S36" s="775" t="e">
        <f t="shared" si="12"/>
        <v>#N/A</v>
      </c>
      <c r="T36" s="774" t="s">
        <v>17</v>
      </c>
      <c r="U36" s="775" t="e">
        <f t="shared" si="13"/>
        <v>#N/A</v>
      </c>
      <c r="V36" s="774" t="s">
        <v>17</v>
      </c>
      <c r="W36" s="775" t="e">
        <f t="shared" si="14"/>
        <v>#N/A</v>
      </c>
      <c r="X36" s="1812"/>
      <c r="Y36" s="3194"/>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2"/>
      <c r="Q37" s="1794"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2" t="s">
        <v>2515</v>
      </c>
      <c r="Q38" s="1809" t="str">
        <f t="shared" si="11"/>
        <v>业态</v>
      </c>
      <c r="R38" s="774" t="s">
        <v>17</v>
      </c>
      <c r="S38" s="775">
        <f t="shared" si="12"/>
        <v>100</v>
      </c>
      <c r="T38" s="774" t="s">
        <v>17</v>
      </c>
      <c r="U38" s="775">
        <f t="shared" si="13"/>
        <v>100</v>
      </c>
      <c r="V38" s="774" t="s">
        <v>17</v>
      </c>
      <c r="W38" s="775">
        <f t="shared" si="14"/>
        <v>100</v>
      </c>
      <c r="X38" s="1812"/>
      <c r="Y38" s="3194"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2"/>
      <c r="Q39" s="1809" t="str">
        <f t="shared" si="11"/>
        <v>层高</v>
      </c>
      <c r="R39" s="774" t="s">
        <v>17</v>
      </c>
      <c r="S39" s="775">
        <f t="shared" si="12"/>
        <v>100</v>
      </c>
      <c r="T39" s="774" t="s">
        <v>17</v>
      </c>
      <c r="U39" s="775">
        <f t="shared" si="13"/>
        <v>100</v>
      </c>
      <c r="V39" s="774" t="s">
        <v>17</v>
      </c>
      <c r="W39" s="775">
        <f t="shared" si="14"/>
        <v>100</v>
      </c>
      <c r="X39" s="1812"/>
      <c r="Y39" s="3194"/>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9" t="str">
        <f t="shared" si="11"/>
        <v>单套建筑面积</v>
      </c>
      <c r="R40" s="774" t="s">
        <v>17</v>
      </c>
      <c r="S40" s="775">
        <f t="shared" si="12"/>
        <v>100</v>
      </c>
      <c r="T40" s="774" t="s">
        <v>17</v>
      </c>
      <c r="U40" s="775">
        <f t="shared" si="13"/>
        <v>100</v>
      </c>
      <c r="V40" s="774" t="s">
        <v>17</v>
      </c>
      <c r="W40" s="775">
        <f t="shared" si="14"/>
        <v>100</v>
      </c>
      <c r="X40" s="1812"/>
      <c r="Y40" s="3194"/>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2"/>
      <c r="Q42" s="1809" t="str">
        <f t="shared" si="11"/>
        <v>内部装修</v>
      </c>
      <c r="R42" s="774" t="s">
        <v>17</v>
      </c>
      <c r="S42" s="775">
        <f t="shared" si="12"/>
        <v>100</v>
      </c>
      <c r="T42" s="774" t="s">
        <v>17</v>
      </c>
      <c r="U42" s="775">
        <f t="shared" si="13"/>
        <v>100</v>
      </c>
      <c r="V42" s="774" t="s">
        <v>17</v>
      </c>
      <c r="W42" s="775">
        <f t="shared" si="14"/>
        <v>100</v>
      </c>
      <c r="X42" s="1812"/>
      <c r="Y42" s="3194"/>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2"/>
      <c r="Q43" s="1809" t="str">
        <f t="shared" si="11"/>
        <v>内部装修维护情况</v>
      </c>
      <c r="R43" s="774" t="s">
        <v>17</v>
      </c>
      <c r="S43" s="775">
        <f t="shared" si="12"/>
        <v>100</v>
      </c>
      <c r="T43" s="774" t="s">
        <v>17</v>
      </c>
      <c r="U43" s="775">
        <f t="shared" si="13"/>
        <v>100</v>
      </c>
      <c r="V43" s="774" t="s">
        <v>17</v>
      </c>
      <c r="W43" s="775">
        <f t="shared" si="14"/>
        <v>100</v>
      </c>
      <c r="X43" s="1812"/>
      <c r="Y43" s="319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4">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9">
        <f t="shared" si="11"/>
        <v>111</v>
      </c>
      <c r="R45" s="774" t="s">
        <v>17</v>
      </c>
      <c r="S45" s="775">
        <f t="shared" si="12"/>
        <v>100</v>
      </c>
      <c r="T45" s="774" t="s">
        <v>17</v>
      </c>
      <c r="U45" s="775">
        <f t="shared" si="13"/>
        <v>100</v>
      </c>
      <c r="V45" s="774" t="s">
        <v>17</v>
      </c>
      <c r="W45" s="775">
        <f t="shared" si="14"/>
        <v>100</v>
      </c>
      <c r="X45" s="1812"/>
      <c r="Y45" s="3194"/>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34"/>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2020-2</v>
      </c>
      <c r="D58" s="1574">
        <f>EDATE(C58,-1)</f>
        <v>43831</v>
      </c>
      <c r="E58" s="1574">
        <f t="shared" ref="E58:N58" si="16">EDATE(D58,-1)</f>
        <v>43800</v>
      </c>
      <c r="F58" s="1574">
        <f t="shared" si="16"/>
        <v>43770</v>
      </c>
      <c r="G58" s="1574">
        <f t="shared" si="16"/>
        <v>43739</v>
      </c>
      <c r="H58" s="1574">
        <f t="shared" si="16"/>
        <v>43709</v>
      </c>
      <c r="I58" s="1574">
        <f t="shared" si="16"/>
        <v>43678</v>
      </c>
      <c r="J58" s="1574">
        <f t="shared" si="16"/>
        <v>43647</v>
      </c>
      <c r="K58" s="1574">
        <f t="shared" si="16"/>
        <v>43617</v>
      </c>
      <c r="L58" s="1574">
        <f t="shared" si="16"/>
        <v>43586</v>
      </c>
      <c r="M58" s="1574">
        <f t="shared" si="16"/>
        <v>43556</v>
      </c>
      <c r="N58" s="1574">
        <f t="shared" si="16"/>
        <v>43525</v>
      </c>
      <c r="O58" s="1574">
        <f>EDATE(N58,-1)</f>
        <v>43497</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受贵公司委托，我公司对山东省济南市高新区旅游路以南、凤凰路以西A-13出让国有建设用地使用权及在建建筑物房地产抵押价值进行了预评估。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高新区旅游路以南、凤凰路以西A-13出让国有建设用地使用权及在建建筑物房地产，为所有。根据，估价对象（分摊）出让国有建设用地使用权面积为1244.62平方米，建筑面积为2323.53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高新区旅游路以南、凤凰路以西A-13出让国有建设用地使用权及在建建筑物房地产,属开发建设的办公项目，该项目尚在开发建设中。根据，估价对象（分摊）出让国有建设用地使用权面积为1244.62平方米，规划建筑面积为2323.53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高新区旅游路以南、凤凰路以西A-13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2020年2月10日（评估专业人员实地查勘之日）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2323.5299999999997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72" t="s">
        <v>2600</v>
      </c>
      <c r="Q4" s="3273"/>
      <c r="R4" s="3276" t="s">
        <v>2596</v>
      </c>
      <c r="S4" s="3277"/>
      <c r="T4" s="3276" t="s">
        <v>2597</v>
      </c>
      <c r="U4" s="3277"/>
      <c r="V4" s="3278" t="s">
        <v>2598</v>
      </c>
      <c r="W4" s="3278"/>
      <c r="X4" s="2669"/>
      <c r="Y4" s="3276" t="s">
        <v>2600</v>
      </c>
      <c r="Z4" s="3277"/>
      <c r="AA4" s="3280" t="s">
        <v>2596</v>
      </c>
      <c r="AB4" s="3280" t="s">
        <v>2597</v>
      </c>
      <c r="AC4" s="3269" t="s">
        <v>2598</v>
      </c>
    </row>
    <row r="5" spans="1:29" ht="15">
      <c r="A5" s="404"/>
      <c r="B5" s="405"/>
      <c r="C5" s="3216" t="s">
        <v>2492</v>
      </c>
      <c r="D5" s="3217"/>
      <c r="E5" s="3224" t="s">
        <v>2493</v>
      </c>
      <c r="F5" s="3225"/>
      <c r="G5" s="3216" t="s">
        <v>2494</v>
      </c>
      <c r="H5" s="3217"/>
      <c r="I5" s="3216" t="s">
        <v>2495</v>
      </c>
      <c r="J5" s="3217"/>
      <c r="K5" s="610"/>
      <c r="L5" s="1130"/>
      <c r="M5" s="1131"/>
      <c r="N5" s="1131"/>
      <c r="O5" s="1131"/>
      <c r="P5" s="3274"/>
      <c r="Q5" s="3205"/>
      <c r="R5" s="3210"/>
      <c r="S5" s="3211"/>
      <c r="T5" s="3210"/>
      <c r="U5" s="3211"/>
      <c r="V5" s="3195"/>
      <c r="W5" s="3195"/>
      <c r="X5" s="1812"/>
      <c r="Y5" s="3210"/>
      <c r="Z5" s="3211"/>
      <c r="AA5" s="3197"/>
      <c r="AB5" s="3197"/>
      <c r="AC5" s="3270"/>
    </row>
    <row r="6" spans="1:29" ht="15.75" thickBot="1">
      <c r="A6" s="406"/>
      <c r="B6" s="407"/>
      <c r="C6" s="3214" t="s">
        <v>2496</v>
      </c>
      <c r="D6" s="3215"/>
      <c r="E6" s="3222" t="s">
        <v>2496</v>
      </c>
      <c r="F6" s="3223"/>
      <c r="G6" s="3214" t="s">
        <v>2496</v>
      </c>
      <c r="H6" s="3215"/>
      <c r="I6" s="3214" t="s">
        <v>2496</v>
      </c>
      <c r="J6" s="3215"/>
      <c r="K6" s="610" t="s">
        <v>2497</v>
      </c>
      <c r="L6" s="1130"/>
      <c r="M6" s="1131"/>
      <c r="N6" s="1131"/>
      <c r="O6" s="1131"/>
      <c r="P6" s="3275"/>
      <c r="Q6" s="3207"/>
      <c r="R6" s="3210"/>
      <c r="S6" s="3211"/>
      <c r="T6" s="3212"/>
      <c r="U6" s="3213"/>
      <c r="V6" s="3195"/>
      <c r="W6" s="3195"/>
      <c r="X6" s="1812"/>
      <c r="Y6" s="3212"/>
      <c r="Z6" s="3213"/>
      <c r="AA6" s="3198"/>
      <c r="AB6" s="3198"/>
      <c r="AC6" s="3271"/>
    </row>
    <row r="7" spans="1:29" s="117" customFormat="1" ht="15.75" thickBot="1">
      <c r="A7" s="408" t="s">
        <v>2498</v>
      </c>
      <c r="B7" s="409"/>
      <c r="C7" s="410">
        <f>'数据-取费表'!B2</f>
        <v>43871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9" t="s">
        <v>2499</v>
      </c>
      <c r="Q7" s="3220"/>
      <c r="R7" s="770" t="s">
        <v>17</v>
      </c>
      <c r="S7" s="771">
        <f t="shared" ref="S7:S15" si="0">F7</f>
        <v>0</v>
      </c>
      <c r="T7" s="770" t="s">
        <v>17</v>
      </c>
      <c r="U7" s="771">
        <f t="shared" ref="U7:U15" si="1">H7</f>
        <v>0</v>
      </c>
      <c r="V7" s="770" t="s">
        <v>17</v>
      </c>
      <c r="W7" s="771">
        <f t="shared" ref="W7:W15" si="2">J7</f>
        <v>0</v>
      </c>
      <c r="X7" s="772"/>
      <c r="Y7" s="3218" t="s">
        <v>2499</v>
      </c>
      <c r="Z7" s="3219"/>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9" t="s">
        <v>2502</v>
      </c>
      <c r="Q8" s="3219"/>
      <c r="R8" s="770" t="s">
        <v>17</v>
      </c>
      <c r="S8" s="771">
        <f t="shared" si="0"/>
        <v>0</v>
      </c>
      <c r="T8" s="770" t="s">
        <v>17</v>
      </c>
      <c r="U8" s="771">
        <f t="shared" si="1"/>
        <v>0</v>
      </c>
      <c r="V8" s="770" t="s">
        <v>17</v>
      </c>
      <c r="W8" s="771">
        <f t="shared" si="2"/>
        <v>0</v>
      </c>
      <c r="X8" s="772"/>
      <c r="Y8" s="3218" t="s">
        <v>2502</v>
      </c>
      <c r="Z8" s="3219"/>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5" t="s">
        <v>2510</v>
      </c>
      <c r="Q15" s="1809" t="str">
        <f t="shared" si="6"/>
        <v>办公集聚程度</v>
      </c>
      <c r="R15" s="774" t="s">
        <v>17</v>
      </c>
      <c r="S15" s="775">
        <f t="shared" si="0"/>
        <v>100</v>
      </c>
      <c r="T15" s="774" t="s">
        <v>17</v>
      </c>
      <c r="U15" s="775">
        <f t="shared" si="1"/>
        <v>100</v>
      </c>
      <c r="V15" s="774" t="s">
        <v>17</v>
      </c>
      <c r="W15" s="775">
        <f t="shared" si="2"/>
        <v>100</v>
      </c>
      <c r="X15" s="1812"/>
      <c r="Y15" s="3191"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6"/>
      <c r="Q16" s="1809"/>
      <c r="R16" s="774"/>
      <c r="S16" s="775"/>
      <c r="T16" s="774"/>
      <c r="U16" s="775"/>
      <c r="V16" s="774"/>
      <c r="W16" s="775"/>
      <c r="X16" s="1812"/>
      <c r="Y16" s="3192"/>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6"/>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6"/>
      <c r="Q18" s="1809"/>
      <c r="R18" s="774"/>
      <c r="S18" s="775"/>
      <c r="T18" s="774"/>
      <c r="U18" s="775"/>
      <c r="V18" s="774"/>
      <c r="W18" s="775"/>
      <c r="X18" s="1812"/>
      <c r="Y18" s="3192"/>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6"/>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6"/>
      <c r="Q20" s="1809"/>
      <c r="R20" s="774"/>
      <c r="S20" s="775"/>
      <c r="T20" s="774"/>
      <c r="U20" s="775"/>
      <c r="V20" s="774"/>
      <c r="W20" s="775"/>
      <c r="X20" s="1812"/>
      <c r="Y20" s="3192"/>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6"/>
      <c r="Q22" s="1809"/>
      <c r="R22" s="774"/>
      <c r="S22" s="775"/>
      <c r="T22" s="774"/>
      <c r="U22" s="775"/>
      <c r="V22" s="774"/>
      <c r="W22" s="775"/>
      <c r="X22" s="1812"/>
      <c r="Y22" s="3192"/>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6"/>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6"/>
      <c r="Q24" s="1809"/>
      <c r="R24" s="774"/>
      <c r="S24" s="775"/>
      <c r="T24" s="774"/>
      <c r="U24" s="775"/>
      <c r="V24" s="774"/>
      <c r="W24" s="775"/>
      <c r="X24" s="1812"/>
      <c r="Y24" s="3192"/>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6"/>
      <c r="Q25" s="1809" t="str">
        <f>B25</f>
        <v>毗邻道路的类型与等级</v>
      </c>
      <c r="R25" s="774" t="s">
        <v>17</v>
      </c>
      <c r="S25" s="775">
        <f>F25</f>
        <v>100</v>
      </c>
      <c r="T25" s="774" t="s">
        <v>17</v>
      </c>
      <c r="U25" s="775">
        <f>H25</f>
        <v>100</v>
      </c>
      <c r="V25" s="774" t="s">
        <v>17</v>
      </c>
      <c r="W25" s="775">
        <f>J25</f>
        <v>100</v>
      </c>
      <c r="X25" s="1812"/>
      <c r="Y25" s="3192"/>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6"/>
      <c r="Q26" s="1809"/>
      <c r="R26" s="774"/>
      <c r="S26" s="775"/>
      <c r="T26" s="774"/>
      <c r="U26" s="775"/>
      <c r="V26" s="774"/>
      <c r="W26" s="775"/>
      <c r="X26" s="1812"/>
      <c r="Y26" s="3192"/>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6"/>
      <c r="Q27" s="1809" t="str">
        <f t="shared" ref="Q27:Q47" si="11">B27</f>
        <v>楼层</v>
      </c>
      <c r="R27" s="774" t="s">
        <v>17</v>
      </c>
      <c r="S27" s="775">
        <f>F27</f>
        <v>100</v>
      </c>
      <c r="T27" s="774" t="s">
        <v>17</v>
      </c>
      <c r="U27" s="775">
        <f>H27</f>
        <v>100</v>
      </c>
      <c r="V27" s="774" t="s">
        <v>17</v>
      </c>
      <c r="W27" s="775">
        <f>J27</f>
        <v>100</v>
      </c>
      <c r="X27" s="1812"/>
      <c r="Y27" s="3192"/>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6"/>
      <c r="Q28" s="1794" t="str">
        <f t="shared" si="11"/>
        <v>朝向</v>
      </c>
      <c r="R28" s="770" t="s">
        <v>17</v>
      </c>
      <c r="S28" s="771">
        <f>F28</f>
        <v>100</v>
      </c>
      <c r="T28" s="770" t="s">
        <v>17</v>
      </c>
      <c r="U28" s="771">
        <f>H28</f>
        <v>100</v>
      </c>
      <c r="V28" s="770" t="s">
        <v>17</v>
      </c>
      <c r="W28" s="771">
        <f>J28</f>
        <v>100</v>
      </c>
      <c r="X28" s="772"/>
      <c r="Y28" s="3192"/>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6"/>
      <c r="Q29" s="1809">
        <f t="shared" si="11"/>
        <v>111</v>
      </c>
      <c r="R29" s="774" t="s">
        <v>17</v>
      </c>
      <c r="S29" s="775">
        <f t="shared" ref="S29:S47" si="12">F29</f>
        <v>100</v>
      </c>
      <c r="T29" s="774" t="s">
        <v>17</v>
      </c>
      <c r="U29" s="775">
        <f t="shared" ref="U29:U47" si="13">H29</f>
        <v>100</v>
      </c>
      <c r="V29" s="774" t="s">
        <v>17</v>
      </c>
      <c r="W29" s="775">
        <f t="shared" ref="W29:W47" si="14">J29</f>
        <v>100</v>
      </c>
      <c r="X29" s="1812"/>
      <c r="Y29" s="3192"/>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6"/>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6"/>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6"/>
      <c r="Q32" s="1809">
        <f t="shared" si="11"/>
        <v>111</v>
      </c>
      <c r="R32" s="774" t="s">
        <v>17</v>
      </c>
      <c r="S32" s="775">
        <f t="shared" si="12"/>
        <v>100</v>
      </c>
      <c r="T32" s="774" t="s">
        <v>17</v>
      </c>
      <c r="U32" s="775">
        <f t="shared" si="13"/>
        <v>100</v>
      </c>
      <c r="V32" s="774" t="s">
        <v>17</v>
      </c>
      <c r="W32" s="775">
        <f t="shared" si="14"/>
        <v>100</v>
      </c>
      <c r="X32" s="1812"/>
      <c r="Y32" s="3192"/>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1" t="s">
        <v>2515</v>
      </c>
      <c r="Q33" s="1809" t="str">
        <f t="shared" si="11"/>
        <v>建筑类型</v>
      </c>
      <c r="R33" s="774" t="s">
        <v>17</v>
      </c>
      <c r="S33" s="775">
        <f t="shared" si="12"/>
        <v>100</v>
      </c>
      <c r="T33" s="774" t="s">
        <v>17</v>
      </c>
      <c r="U33" s="775">
        <f t="shared" si="13"/>
        <v>100</v>
      </c>
      <c r="V33" s="774" t="s">
        <v>17</v>
      </c>
      <c r="W33" s="775">
        <f t="shared" si="14"/>
        <v>100</v>
      </c>
      <c r="X33" s="1812"/>
      <c r="Y33" s="3194"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09" t="str">
        <f t="shared" si="11"/>
        <v>建筑结构</v>
      </c>
      <c r="R35" s="774" t="s">
        <v>17</v>
      </c>
      <c r="S35" s="775">
        <f t="shared" si="12"/>
        <v>100</v>
      </c>
      <c r="T35" s="774" t="s">
        <v>17</v>
      </c>
      <c r="U35" s="775">
        <f t="shared" si="13"/>
        <v>100</v>
      </c>
      <c r="V35" s="774" t="s">
        <v>17</v>
      </c>
      <c r="W35" s="775">
        <f t="shared" si="14"/>
        <v>100</v>
      </c>
      <c r="X35" s="1812"/>
      <c r="Y35" s="3194"/>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09" t="str">
        <f t="shared" si="11"/>
        <v>公共部分装修</v>
      </c>
      <c r="R36" s="774" t="s">
        <v>17</v>
      </c>
      <c r="S36" s="775">
        <f t="shared" si="12"/>
        <v>100</v>
      </c>
      <c r="T36" s="774" t="s">
        <v>17</v>
      </c>
      <c r="U36" s="775">
        <f t="shared" si="13"/>
        <v>100</v>
      </c>
      <c r="V36" s="774" t="s">
        <v>17</v>
      </c>
      <c r="W36" s="775">
        <f t="shared" si="14"/>
        <v>100</v>
      </c>
      <c r="X36" s="1812"/>
      <c r="Y36" s="3194"/>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09" t="str">
        <f t="shared" si="11"/>
        <v>成新度</v>
      </c>
      <c r="R37" s="774" t="s">
        <v>17</v>
      </c>
      <c r="S37" s="775" t="e">
        <f t="shared" si="12"/>
        <v>#N/A</v>
      </c>
      <c r="T37" s="774" t="s">
        <v>17</v>
      </c>
      <c r="U37" s="775" t="e">
        <f t="shared" si="13"/>
        <v>#N/A</v>
      </c>
      <c r="V37" s="774" t="s">
        <v>17</v>
      </c>
      <c r="W37" s="775" t="e">
        <f t="shared" si="14"/>
        <v>#N/A</v>
      </c>
      <c r="X37" s="1812"/>
      <c r="Y37" s="3194"/>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4"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2515</v>
      </c>
      <c r="Q39" s="1809" t="str">
        <f t="shared" si="11"/>
        <v>物业管理</v>
      </c>
      <c r="R39" s="774" t="s">
        <v>17</v>
      </c>
      <c r="S39" s="775">
        <f t="shared" si="12"/>
        <v>100</v>
      </c>
      <c r="T39" s="774" t="s">
        <v>17</v>
      </c>
      <c r="U39" s="775">
        <f t="shared" si="13"/>
        <v>100</v>
      </c>
      <c r="V39" s="774" t="s">
        <v>17</v>
      </c>
      <c r="W39" s="775">
        <f t="shared" si="14"/>
        <v>100</v>
      </c>
      <c r="X39" s="1812"/>
      <c r="Y39" s="3194"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09" t="str">
        <f t="shared" si="11"/>
        <v>市政基础设施</v>
      </c>
      <c r="R40" s="774" t="s">
        <v>17</v>
      </c>
      <c r="S40" s="775">
        <f t="shared" si="12"/>
        <v>100</v>
      </c>
      <c r="T40" s="774" t="s">
        <v>17</v>
      </c>
      <c r="U40" s="775">
        <f t="shared" si="13"/>
        <v>100</v>
      </c>
      <c r="V40" s="774" t="s">
        <v>17</v>
      </c>
      <c r="W40" s="775">
        <f t="shared" si="14"/>
        <v>100</v>
      </c>
      <c r="X40" s="1812"/>
      <c r="Y40" s="3194"/>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09" t="str">
        <f t="shared" si="11"/>
        <v>层高</v>
      </c>
      <c r="R41" s="774" t="s">
        <v>17</v>
      </c>
      <c r="S41" s="775">
        <f t="shared" si="12"/>
        <v>100</v>
      </c>
      <c r="T41" s="774" t="s">
        <v>17</v>
      </c>
      <c r="U41" s="775">
        <f t="shared" si="13"/>
        <v>100</v>
      </c>
      <c r="V41" s="774" t="s">
        <v>17</v>
      </c>
      <c r="W41" s="775">
        <f t="shared" si="14"/>
        <v>100</v>
      </c>
      <c r="X41" s="1812"/>
      <c r="Y41" s="3194"/>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09" t="str">
        <f t="shared" si="11"/>
        <v>内部装修</v>
      </c>
      <c r="R43" s="774" t="s">
        <v>17</v>
      </c>
      <c r="S43" s="775">
        <f t="shared" si="12"/>
        <v>100</v>
      </c>
      <c r="T43" s="774" t="s">
        <v>17</v>
      </c>
      <c r="U43" s="775">
        <f t="shared" si="13"/>
        <v>100</v>
      </c>
      <c r="V43" s="774" t="s">
        <v>17</v>
      </c>
      <c r="W43" s="775">
        <f t="shared" si="14"/>
        <v>100</v>
      </c>
      <c r="X43" s="1812"/>
      <c r="Y43" s="3194"/>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2"/>
      <c r="Q44" s="1809" t="str">
        <f t="shared" si="11"/>
        <v>内部装修维护情况</v>
      </c>
      <c r="R44" s="774" t="s">
        <v>17</v>
      </c>
      <c r="S44" s="775">
        <f t="shared" si="12"/>
        <v>100</v>
      </c>
      <c r="T44" s="774" t="s">
        <v>17</v>
      </c>
      <c r="U44" s="775">
        <f t="shared" si="13"/>
        <v>100</v>
      </c>
      <c r="V44" s="774" t="s">
        <v>17</v>
      </c>
      <c r="W44" s="775">
        <f t="shared" si="14"/>
        <v>100</v>
      </c>
      <c r="X44" s="1812"/>
      <c r="Y44" s="3194"/>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4">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194"/>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9">
        <f t="shared" si="11"/>
        <v>111</v>
      </c>
      <c r="R47" s="774" t="s">
        <v>17</v>
      </c>
      <c r="S47" s="775">
        <f t="shared" si="12"/>
        <v>100</v>
      </c>
      <c r="T47" s="774" t="s">
        <v>17</v>
      </c>
      <c r="U47" s="775">
        <f t="shared" si="13"/>
        <v>100</v>
      </c>
      <c r="V47" s="774" t="s">
        <v>17</v>
      </c>
      <c r="W47" s="775">
        <f t="shared" si="14"/>
        <v>100</v>
      </c>
      <c r="X47" s="1812"/>
      <c r="Y47" s="3234"/>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188" t="str">
        <f>A48</f>
        <v>成交单价（元/平方米）</v>
      </c>
      <c r="Q48" s="3189"/>
      <c r="R48" s="3230">
        <f>E48</f>
        <v>0</v>
      </c>
      <c r="S48" s="3230"/>
      <c r="T48" s="3230">
        <f>G48</f>
        <v>0</v>
      </c>
      <c r="U48" s="3230"/>
      <c r="V48" s="3230">
        <f>I48</f>
        <v>0</v>
      </c>
      <c r="W48" s="3230"/>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8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2020-2</v>
      </c>
      <c r="D59" s="1574">
        <f>EDATE(C59,-1)</f>
        <v>43831</v>
      </c>
      <c r="E59" s="1574">
        <f>EDATE(D59,-1)</f>
        <v>43800</v>
      </c>
      <c r="F59" s="1574">
        <f t="shared" ref="F59:O59" si="16">EDATE(E59,-1)</f>
        <v>43770</v>
      </c>
      <c r="G59" s="1574">
        <f t="shared" si="16"/>
        <v>43739</v>
      </c>
      <c r="H59" s="1574">
        <f t="shared" si="16"/>
        <v>43709</v>
      </c>
      <c r="I59" s="1574">
        <f t="shared" si="16"/>
        <v>43678</v>
      </c>
      <c r="J59" s="1574">
        <f t="shared" si="16"/>
        <v>43647</v>
      </c>
      <c r="K59" s="1574">
        <f t="shared" si="16"/>
        <v>43617</v>
      </c>
      <c r="L59" s="1574">
        <f t="shared" si="16"/>
        <v>43586</v>
      </c>
      <c r="M59" s="1574">
        <f t="shared" si="16"/>
        <v>43556</v>
      </c>
      <c r="N59" s="1574">
        <f t="shared" si="16"/>
        <v>43525</v>
      </c>
      <c r="O59" s="1574">
        <f t="shared" si="16"/>
        <v>43497</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2323.5299999999997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7" t="s">
        <v>2597</v>
      </c>
      <c r="AC4" s="3196" t="s">
        <v>2598</v>
      </c>
    </row>
    <row r="5" spans="1:29" ht="15">
      <c r="A5" s="404"/>
      <c r="B5" s="405"/>
      <c r="C5" s="3216" t="s">
        <v>2492</v>
      </c>
      <c r="D5" s="3217"/>
      <c r="E5" s="3224" t="s">
        <v>2493</v>
      </c>
      <c r="F5" s="3225"/>
      <c r="G5" s="3216" t="s">
        <v>2494</v>
      </c>
      <c r="H5" s="3217"/>
      <c r="I5" s="3216" t="s">
        <v>2495</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2496</v>
      </c>
      <c r="D6" s="3215"/>
      <c r="E6" s="3222" t="s">
        <v>2496</v>
      </c>
      <c r="F6" s="3223"/>
      <c r="G6" s="3214" t="s">
        <v>2496</v>
      </c>
      <c r="H6" s="3215"/>
      <c r="I6" s="3214" t="s">
        <v>2496</v>
      </c>
      <c r="J6" s="3215"/>
      <c r="K6" s="610" t="s">
        <v>2497</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2498</v>
      </c>
      <c r="B7" s="409"/>
      <c r="C7" s="410">
        <f>'数据-取费表'!B2</f>
        <v>43871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2499</v>
      </c>
      <c r="Q7" s="3220"/>
      <c r="R7" s="770" t="s">
        <v>17</v>
      </c>
      <c r="S7" s="771">
        <f t="shared" ref="S7:S15" si="0">F7</f>
        <v>0</v>
      </c>
      <c r="T7" s="770" t="s">
        <v>17</v>
      </c>
      <c r="U7" s="771">
        <f t="shared" ref="U7:U15" si="1">H7</f>
        <v>0</v>
      </c>
      <c r="V7" s="770" t="s">
        <v>17</v>
      </c>
      <c r="W7" s="771">
        <f t="shared" ref="W7:W15" si="2">J7</f>
        <v>0</v>
      </c>
      <c r="X7" s="772"/>
      <c r="Y7" s="3218" t="s">
        <v>2499</v>
      </c>
      <c r="Z7" s="3219"/>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2502</v>
      </c>
      <c r="Q8" s="3219"/>
      <c r="R8" s="770" t="s">
        <v>17</v>
      </c>
      <c r="S8" s="771">
        <f t="shared" si="0"/>
        <v>0</v>
      </c>
      <c r="T8" s="770" t="s">
        <v>17</v>
      </c>
      <c r="U8" s="771">
        <f t="shared" si="1"/>
        <v>0</v>
      </c>
      <c r="V8" s="770" t="s">
        <v>17</v>
      </c>
      <c r="W8" s="771">
        <f t="shared" si="2"/>
        <v>0</v>
      </c>
      <c r="X8" s="772"/>
      <c r="Y8" s="3218" t="s">
        <v>2502</v>
      </c>
      <c r="Z8" s="3219"/>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1" t="s">
        <v>2510</v>
      </c>
      <c r="Q15" s="1809" t="str">
        <f t="shared" si="6"/>
        <v>产业集聚程度</v>
      </c>
      <c r="R15" s="774" t="s">
        <v>17</v>
      </c>
      <c r="S15" s="775">
        <f t="shared" si="0"/>
        <v>100</v>
      </c>
      <c r="T15" s="774" t="s">
        <v>17</v>
      </c>
      <c r="U15" s="775">
        <f t="shared" si="1"/>
        <v>100</v>
      </c>
      <c r="V15" s="774" t="s">
        <v>17</v>
      </c>
      <c r="W15" s="775">
        <f t="shared" si="2"/>
        <v>100</v>
      </c>
      <c r="X15" s="1812"/>
      <c r="Y15" s="3191"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2"/>
      <c r="Q16" s="1809"/>
      <c r="R16" s="774"/>
      <c r="S16" s="775"/>
      <c r="T16" s="774"/>
      <c r="U16" s="775"/>
      <c r="V16" s="774"/>
      <c r="W16" s="775"/>
      <c r="X16" s="1812"/>
      <c r="Y16" s="3192"/>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2"/>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2"/>
      <c r="Q20" s="1809"/>
      <c r="R20" s="774"/>
      <c r="S20" s="775"/>
      <c r="T20" s="774"/>
      <c r="U20" s="775"/>
      <c r="V20" s="774"/>
      <c r="W20" s="775"/>
      <c r="X20" s="1812"/>
      <c r="Y20" s="3192"/>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2"/>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2"/>
      <c r="Q22" s="1809"/>
      <c r="R22" s="774"/>
      <c r="S22" s="775"/>
      <c r="T22" s="774"/>
      <c r="U22" s="775"/>
      <c r="V22" s="774"/>
      <c r="W22" s="775"/>
      <c r="X22" s="1812"/>
      <c r="Y22" s="3192"/>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2"/>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2"/>
      <c r="Q24" s="1809"/>
      <c r="R24" s="774"/>
      <c r="S24" s="775"/>
      <c r="T24" s="774"/>
      <c r="U24" s="775"/>
      <c r="V24" s="774"/>
      <c r="W24" s="775"/>
      <c r="X24" s="1812"/>
      <c r="Y24" s="319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09">
        <f>B25</f>
        <v>111</v>
      </c>
      <c r="R25" s="774" t="s">
        <v>17</v>
      </c>
      <c r="S25" s="775">
        <f>F25</f>
        <v>100</v>
      </c>
      <c r="T25" s="774" t="s">
        <v>17</v>
      </c>
      <c r="U25" s="775">
        <f>H25</f>
        <v>100</v>
      </c>
      <c r="V25" s="774" t="s">
        <v>17</v>
      </c>
      <c r="W25" s="775">
        <f>J25</f>
        <v>100</v>
      </c>
      <c r="X25" s="1812"/>
      <c r="Y25" s="319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09">
        <f t="shared" ref="Q26:Q40" si="11">B26</f>
        <v>111</v>
      </c>
      <c r="R26" s="774" t="s">
        <v>17</v>
      </c>
      <c r="S26" s="775">
        <f>F26</f>
        <v>100</v>
      </c>
      <c r="T26" s="774" t="s">
        <v>17</v>
      </c>
      <c r="U26" s="775">
        <f>H26</f>
        <v>100</v>
      </c>
      <c r="V26" s="774" t="s">
        <v>17</v>
      </c>
      <c r="W26" s="775">
        <f>J26</f>
        <v>100</v>
      </c>
      <c r="X26" s="1812"/>
      <c r="Y26" s="319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94">
        <f t="shared" si="11"/>
        <v>111</v>
      </c>
      <c r="R27" s="770" t="s">
        <v>17</v>
      </c>
      <c r="S27" s="771">
        <f>F27</f>
        <v>100</v>
      </c>
      <c r="T27" s="770" t="s">
        <v>17</v>
      </c>
      <c r="U27" s="771">
        <f>H27</f>
        <v>100</v>
      </c>
      <c r="V27" s="770" t="s">
        <v>17</v>
      </c>
      <c r="W27" s="771">
        <f>J27</f>
        <v>100</v>
      </c>
      <c r="X27" s="772"/>
      <c r="Y27" s="319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09">
        <f t="shared" si="11"/>
        <v>111</v>
      </c>
      <c r="R28" s="774" t="s">
        <v>17</v>
      </c>
      <c r="S28" s="775">
        <f t="shared" ref="S28:S40" si="12">F28</f>
        <v>100</v>
      </c>
      <c r="T28" s="774" t="s">
        <v>17</v>
      </c>
      <c r="U28" s="775">
        <f t="shared" ref="U28:U40" si="13">H28</f>
        <v>100</v>
      </c>
      <c r="V28" s="774" t="s">
        <v>17</v>
      </c>
      <c r="W28" s="775">
        <f t="shared" ref="W28:W40" si="14">J28</f>
        <v>100</v>
      </c>
      <c r="X28" s="1812"/>
      <c r="Y28" s="3192"/>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3" t="s">
        <v>2515</v>
      </c>
      <c r="Q29" s="1809" t="str">
        <f t="shared" si="11"/>
        <v>建筑类型</v>
      </c>
      <c r="R29" s="774" t="s">
        <v>17</v>
      </c>
      <c r="S29" s="775">
        <f t="shared" si="12"/>
        <v>100</v>
      </c>
      <c r="T29" s="774" t="s">
        <v>17</v>
      </c>
      <c r="U29" s="775">
        <f t="shared" si="13"/>
        <v>100</v>
      </c>
      <c r="V29" s="774" t="s">
        <v>17</v>
      </c>
      <c r="W29" s="775">
        <f t="shared" si="14"/>
        <v>100</v>
      </c>
      <c r="X29" s="1812"/>
      <c r="Y29" s="3194"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4"/>
      <c r="Q31" s="1809" t="str">
        <f t="shared" si="11"/>
        <v>建筑结构</v>
      </c>
      <c r="R31" s="774" t="s">
        <v>17</v>
      </c>
      <c r="S31" s="775">
        <f t="shared" si="12"/>
        <v>100</v>
      </c>
      <c r="T31" s="774" t="s">
        <v>17</v>
      </c>
      <c r="U31" s="775">
        <f t="shared" si="13"/>
        <v>100</v>
      </c>
      <c r="V31" s="774" t="s">
        <v>17</v>
      </c>
      <c r="W31" s="775">
        <f t="shared" si="14"/>
        <v>100</v>
      </c>
      <c r="X31" s="1812"/>
      <c r="Y31" s="3194"/>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4"/>
      <c r="Q32" s="1809" t="str">
        <f t="shared" si="11"/>
        <v>公共部分装修</v>
      </c>
      <c r="R32" s="774" t="s">
        <v>17</v>
      </c>
      <c r="S32" s="775">
        <f t="shared" si="12"/>
        <v>100</v>
      </c>
      <c r="T32" s="774" t="s">
        <v>17</v>
      </c>
      <c r="U32" s="775">
        <f t="shared" si="13"/>
        <v>100</v>
      </c>
      <c r="V32" s="774" t="s">
        <v>17</v>
      </c>
      <c r="W32" s="775">
        <f t="shared" si="14"/>
        <v>100</v>
      </c>
      <c r="X32" s="1812"/>
      <c r="Y32" s="3194"/>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4"/>
      <c r="Q33" s="1809" t="str">
        <f t="shared" si="11"/>
        <v>成新度</v>
      </c>
      <c r="R33" s="774" t="s">
        <v>17</v>
      </c>
      <c r="S33" s="775" t="e">
        <f t="shared" si="12"/>
        <v>#N/A</v>
      </c>
      <c r="T33" s="774" t="s">
        <v>17</v>
      </c>
      <c r="U33" s="775" t="e">
        <f t="shared" si="13"/>
        <v>#N/A</v>
      </c>
      <c r="V33" s="774" t="s">
        <v>17</v>
      </c>
      <c r="W33" s="775" t="e">
        <f t="shared" si="14"/>
        <v>#N/A</v>
      </c>
      <c r="X33" s="1812"/>
      <c r="Y33" s="3194"/>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4"/>
      <c r="Q34" s="1794"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4" t="s">
        <v>2515</v>
      </c>
      <c r="Q35" s="1809" t="str">
        <f t="shared" si="11"/>
        <v>市政基础设施</v>
      </c>
      <c r="R35" s="774" t="s">
        <v>17</v>
      </c>
      <c r="S35" s="775">
        <f t="shared" si="12"/>
        <v>100</v>
      </c>
      <c r="T35" s="774" t="s">
        <v>17</v>
      </c>
      <c r="U35" s="775">
        <f t="shared" si="13"/>
        <v>100</v>
      </c>
      <c r="V35" s="774" t="s">
        <v>17</v>
      </c>
      <c r="W35" s="775">
        <f t="shared" si="14"/>
        <v>100</v>
      </c>
      <c r="X35" s="1812"/>
      <c r="Y35" s="3194"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4"/>
      <c r="Q36" s="1809" t="str">
        <f t="shared" si="11"/>
        <v>内部装修</v>
      </c>
      <c r="R36" s="774" t="s">
        <v>17</v>
      </c>
      <c r="S36" s="775">
        <f t="shared" si="12"/>
        <v>100</v>
      </c>
      <c r="T36" s="774" t="s">
        <v>17</v>
      </c>
      <c r="U36" s="775">
        <f t="shared" si="13"/>
        <v>100</v>
      </c>
      <c r="V36" s="774" t="s">
        <v>17</v>
      </c>
      <c r="W36" s="775">
        <f t="shared" si="14"/>
        <v>100</v>
      </c>
      <c r="X36" s="1812"/>
      <c r="Y36" s="3194"/>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4"/>
      <c r="Q37" s="1809" t="str">
        <f t="shared" si="11"/>
        <v>内部装修状况</v>
      </c>
      <c r="R37" s="774" t="s">
        <v>17</v>
      </c>
      <c r="S37" s="775">
        <f t="shared" si="12"/>
        <v>100</v>
      </c>
      <c r="T37" s="774" t="s">
        <v>17</v>
      </c>
      <c r="U37" s="775">
        <f t="shared" si="13"/>
        <v>100</v>
      </c>
      <c r="V37" s="774" t="s">
        <v>17</v>
      </c>
      <c r="W37" s="775">
        <f t="shared" si="14"/>
        <v>100</v>
      </c>
      <c r="X37" s="1812"/>
      <c r="Y37" s="319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4"/>
      <c r="Q39" s="1809">
        <f t="shared" si="11"/>
        <v>111</v>
      </c>
      <c r="R39" s="774" t="s">
        <v>17</v>
      </c>
      <c r="S39" s="775">
        <f t="shared" si="12"/>
        <v>100</v>
      </c>
      <c r="T39" s="774" t="s">
        <v>17</v>
      </c>
      <c r="U39" s="775">
        <f t="shared" si="13"/>
        <v>100</v>
      </c>
      <c r="V39" s="774" t="s">
        <v>17</v>
      </c>
      <c r="W39" s="775">
        <f t="shared" si="14"/>
        <v>100</v>
      </c>
      <c r="X39" s="1812"/>
      <c r="Y39" s="3194"/>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09">
        <f t="shared" si="11"/>
        <v>111</v>
      </c>
      <c r="R40" s="774" t="s">
        <v>17</v>
      </c>
      <c r="S40" s="775">
        <f t="shared" si="12"/>
        <v>100</v>
      </c>
      <c r="T40" s="774" t="s">
        <v>17</v>
      </c>
      <c r="U40" s="775">
        <f t="shared" si="13"/>
        <v>100</v>
      </c>
      <c r="V40" s="774" t="s">
        <v>17</v>
      </c>
      <c r="W40" s="775">
        <f t="shared" si="14"/>
        <v>100</v>
      </c>
      <c r="X40" s="1812"/>
      <c r="Y40" s="3234"/>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89" t="str">
        <f>A41</f>
        <v>成交单价（元/平方米）</v>
      </c>
      <c r="Q41" s="3189"/>
      <c r="R41" s="3230">
        <f>E41</f>
        <v>0</v>
      </c>
      <c r="S41" s="3230"/>
      <c r="T41" s="3230">
        <f>G41</f>
        <v>0</v>
      </c>
      <c r="U41" s="3230"/>
      <c r="V41" s="3230">
        <f>I41</f>
        <v>0</v>
      </c>
      <c r="W41" s="3230"/>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3" t="str">
        <f>A43</f>
        <v>估价对象XX用房的比较价值（楼面单价，元/平方米）</v>
      </c>
      <c r="Q43" s="3184"/>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2020-2</v>
      </c>
      <c r="D52" s="1574">
        <f>EDATE(C52,-1)</f>
        <v>43831</v>
      </c>
      <c r="E52" s="1574">
        <f t="shared" ref="E52:O52" si="16">EDATE(D52,-1)</f>
        <v>43800</v>
      </c>
      <c r="F52" s="1574">
        <f t="shared" si="16"/>
        <v>43770</v>
      </c>
      <c r="G52" s="1574">
        <f t="shared" si="16"/>
        <v>43739</v>
      </c>
      <c r="H52" s="1574">
        <f t="shared" si="16"/>
        <v>43709</v>
      </c>
      <c r="I52" s="1574">
        <f t="shared" si="16"/>
        <v>43678</v>
      </c>
      <c r="J52" s="1574">
        <f t="shared" si="16"/>
        <v>43647</v>
      </c>
      <c r="K52" s="1574">
        <f t="shared" si="16"/>
        <v>43617</v>
      </c>
      <c r="L52" s="1574">
        <f t="shared" si="16"/>
        <v>43586</v>
      </c>
      <c r="M52" s="1574">
        <f t="shared" si="16"/>
        <v>43556</v>
      </c>
      <c r="N52" s="1574">
        <f t="shared" si="16"/>
        <v>43525</v>
      </c>
      <c r="O52" s="1574">
        <f t="shared" si="16"/>
        <v>43497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7" t="s">
        <v>2597</v>
      </c>
      <c r="AC4" s="3196" t="s">
        <v>2598</v>
      </c>
    </row>
    <row r="5" spans="1:29" ht="15">
      <c r="A5" s="404"/>
      <c r="B5" s="405"/>
      <c r="C5" s="3216" t="s">
        <v>2492</v>
      </c>
      <c r="D5" s="3217"/>
      <c r="E5" s="3224" t="s">
        <v>2493</v>
      </c>
      <c r="F5" s="3225"/>
      <c r="G5" s="3216" t="s">
        <v>2494</v>
      </c>
      <c r="H5" s="3217"/>
      <c r="I5" s="3216" t="s">
        <v>2495</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2496</v>
      </c>
      <c r="D6" s="3215"/>
      <c r="E6" s="3222" t="s">
        <v>2496</v>
      </c>
      <c r="F6" s="3223"/>
      <c r="G6" s="3214" t="s">
        <v>2496</v>
      </c>
      <c r="H6" s="3215"/>
      <c r="I6" s="3214" t="s">
        <v>2496</v>
      </c>
      <c r="J6" s="3215"/>
      <c r="K6" s="610" t="s">
        <v>2497</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2498</v>
      </c>
      <c r="B7" s="409"/>
      <c r="C7" s="410">
        <f>'数据-取费表'!B2</f>
        <v>43871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2499</v>
      </c>
      <c r="Q7" s="3220"/>
      <c r="R7" s="770" t="s">
        <v>17</v>
      </c>
      <c r="S7" s="771">
        <f t="shared" ref="S7:S14" si="0">F7</f>
        <v>0</v>
      </c>
      <c r="T7" s="770" t="s">
        <v>17</v>
      </c>
      <c r="U7" s="771">
        <f t="shared" ref="U7:U14" si="1">H7</f>
        <v>0</v>
      </c>
      <c r="V7" s="770" t="s">
        <v>17</v>
      </c>
      <c r="W7" s="771">
        <f t="shared" ref="W7:W14" si="2">J7</f>
        <v>0</v>
      </c>
      <c r="X7" s="772"/>
      <c r="Y7" s="3218" t="s">
        <v>2499</v>
      </c>
      <c r="Z7" s="3219"/>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2502</v>
      </c>
      <c r="Q8" s="3219"/>
      <c r="R8" s="770" t="s">
        <v>17</v>
      </c>
      <c r="S8" s="771">
        <f t="shared" si="0"/>
        <v>0</v>
      </c>
      <c r="T8" s="770" t="s">
        <v>17</v>
      </c>
      <c r="U8" s="771">
        <f t="shared" si="1"/>
        <v>0</v>
      </c>
      <c r="V8" s="770" t="s">
        <v>17</v>
      </c>
      <c r="W8" s="771">
        <f t="shared" si="2"/>
        <v>0</v>
      </c>
      <c r="X8" s="772"/>
      <c r="Y8" s="3218" t="s">
        <v>2502</v>
      </c>
      <c r="Z8" s="3219"/>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2505</v>
      </c>
      <c r="Q9" s="1794" t="str">
        <f t="shared" ref="Q9:Q14" si="6">B9</f>
        <v>用途</v>
      </c>
      <c r="R9" s="770" t="s">
        <v>17</v>
      </c>
      <c r="S9" s="771">
        <f t="shared" si="0"/>
        <v>100</v>
      </c>
      <c r="T9" s="770" t="s">
        <v>17</v>
      </c>
      <c r="U9" s="771">
        <f t="shared" si="1"/>
        <v>100</v>
      </c>
      <c r="V9" s="770" t="s">
        <v>17</v>
      </c>
      <c r="W9" s="771">
        <f t="shared" si="2"/>
        <v>100</v>
      </c>
      <c r="X9" s="772"/>
      <c r="Y9" s="3040"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1" t="s">
        <v>2510</v>
      </c>
      <c r="Q14" s="1809" t="str">
        <f t="shared" si="6"/>
        <v>交通便捷度</v>
      </c>
      <c r="R14" s="774" t="s">
        <v>17</v>
      </c>
      <c r="S14" s="775">
        <f t="shared" si="0"/>
        <v>100</v>
      </c>
      <c r="T14" s="774" t="s">
        <v>17</v>
      </c>
      <c r="U14" s="775">
        <f t="shared" si="1"/>
        <v>100</v>
      </c>
      <c r="V14" s="774" t="s">
        <v>17</v>
      </c>
      <c r="W14" s="775">
        <f t="shared" si="2"/>
        <v>100</v>
      </c>
      <c r="X14" s="1812"/>
      <c r="Y14" s="3191"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2"/>
      <c r="Q15" s="1809"/>
      <c r="R15" s="774"/>
      <c r="S15" s="775"/>
      <c r="T15" s="774"/>
      <c r="U15" s="775"/>
      <c r="V15" s="774"/>
      <c r="W15" s="775"/>
      <c r="X15" s="1812"/>
      <c r="Y15" s="3192"/>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2"/>
      <c r="Q17" s="1809"/>
      <c r="R17" s="774"/>
      <c r="S17" s="775"/>
      <c r="T17" s="774"/>
      <c r="U17" s="775"/>
      <c r="V17" s="774"/>
      <c r="W17" s="775"/>
      <c r="X17" s="1812"/>
      <c r="Y17" s="3192"/>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2"/>
      <c r="Q19" s="1809"/>
      <c r="R19" s="774"/>
      <c r="S19" s="775"/>
      <c r="T19" s="774"/>
      <c r="U19" s="775"/>
      <c r="V19" s="774"/>
      <c r="W19" s="775"/>
      <c r="X19" s="1812"/>
      <c r="Y19" s="3192"/>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2"/>
      <c r="Q21" s="1809"/>
      <c r="R21" s="774"/>
      <c r="S21" s="775"/>
      <c r="T21" s="774"/>
      <c r="U21" s="775"/>
      <c r="V21" s="774"/>
      <c r="W21" s="775"/>
      <c r="X21" s="1812"/>
      <c r="Y21" s="3192"/>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09">
        <f>B23</f>
        <v>111</v>
      </c>
      <c r="R23" s="774" t="s">
        <v>17</v>
      </c>
      <c r="S23" s="775">
        <f>F23</f>
        <v>100</v>
      </c>
      <c r="T23" s="774" t="s">
        <v>17</v>
      </c>
      <c r="U23" s="775">
        <f>H23</f>
        <v>100</v>
      </c>
      <c r="V23" s="774" t="s">
        <v>17</v>
      </c>
      <c r="W23" s="775">
        <f>J23</f>
        <v>100</v>
      </c>
      <c r="X23" s="1812"/>
      <c r="Y23" s="319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09">
        <f t="shared" ref="Q24:Q36" si="11">B24</f>
        <v>111</v>
      </c>
      <c r="R24" s="774" t="s">
        <v>17</v>
      </c>
      <c r="S24" s="775">
        <f>F24</f>
        <v>100</v>
      </c>
      <c r="T24" s="774" t="s">
        <v>17</v>
      </c>
      <c r="U24" s="775">
        <f>H24</f>
        <v>100</v>
      </c>
      <c r="V24" s="774" t="s">
        <v>17</v>
      </c>
      <c r="W24" s="775">
        <f>J24</f>
        <v>100</v>
      </c>
      <c r="X24" s="1812"/>
      <c r="Y24" s="319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94">
        <f t="shared" si="11"/>
        <v>111</v>
      </c>
      <c r="R25" s="770" t="s">
        <v>17</v>
      </c>
      <c r="S25" s="771">
        <f>F25</f>
        <v>100</v>
      </c>
      <c r="T25" s="770" t="s">
        <v>17</v>
      </c>
      <c r="U25" s="771">
        <f>H25</f>
        <v>100</v>
      </c>
      <c r="V25" s="770" t="s">
        <v>17</v>
      </c>
      <c r="W25" s="771">
        <f>J25</f>
        <v>100</v>
      </c>
      <c r="X25" s="772"/>
      <c r="Y25" s="3192"/>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3"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4"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4"/>
      <c r="Q28" s="1809" t="str">
        <f t="shared" si="11"/>
        <v>公共部分装修</v>
      </c>
      <c r="R28" s="774" t="s">
        <v>17</v>
      </c>
      <c r="S28" s="775">
        <f t="shared" si="12"/>
        <v>100</v>
      </c>
      <c r="T28" s="774" t="s">
        <v>17</v>
      </c>
      <c r="U28" s="775">
        <f t="shared" si="13"/>
        <v>100</v>
      </c>
      <c r="V28" s="774" t="s">
        <v>17</v>
      </c>
      <c r="W28" s="775">
        <f t="shared" si="14"/>
        <v>100</v>
      </c>
      <c r="X28" s="1812"/>
      <c r="Y28" s="3194"/>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4"/>
      <c r="Q29" s="1809" t="str">
        <f t="shared" si="11"/>
        <v>成新率</v>
      </c>
      <c r="R29" s="774" t="s">
        <v>17</v>
      </c>
      <c r="S29" s="775" t="e">
        <f t="shared" si="12"/>
        <v>#N/A</v>
      </c>
      <c r="T29" s="774" t="s">
        <v>17</v>
      </c>
      <c r="U29" s="775" t="e">
        <f t="shared" si="13"/>
        <v>#N/A</v>
      </c>
      <c r="V29" s="774" t="s">
        <v>17</v>
      </c>
      <c r="W29" s="775" t="e">
        <f t="shared" si="14"/>
        <v>#N/A</v>
      </c>
      <c r="X29" s="1812"/>
      <c r="Y29" s="3194"/>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4"/>
      <c r="Q30" s="1809" t="str">
        <f t="shared" si="11"/>
        <v>物业等级</v>
      </c>
      <c r="R30" s="774" t="s">
        <v>17</v>
      </c>
      <c r="S30" s="775">
        <f t="shared" si="12"/>
        <v>100</v>
      </c>
      <c r="T30" s="774" t="s">
        <v>17</v>
      </c>
      <c r="U30" s="775">
        <f t="shared" si="13"/>
        <v>100</v>
      </c>
      <c r="V30" s="774" t="s">
        <v>17</v>
      </c>
      <c r="W30" s="775">
        <f t="shared" si="14"/>
        <v>100</v>
      </c>
      <c r="X30" s="1812"/>
      <c r="Y30" s="3194"/>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4"/>
      <c r="Q31" s="1794"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4" t="s">
        <v>2515</v>
      </c>
      <c r="Q32" s="1809" t="str">
        <f t="shared" si="11"/>
        <v>车位类型</v>
      </c>
      <c r="R32" s="774" t="s">
        <v>17</v>
      </c>
      <c r="S32" s="775">
        <f t="shared" si="12"/>
        <v>100</v>
      </c>
      <c r="T32" s="774" t="s">
        <v>17</v>
      </c>
      <c r="U32" s="775">
        <f t="shared" si="13"/>
        <v>100</v>
      </c>
      <c r="V32" s="774" t="s">
        <v>17</v>
      </c>
      <c r="W32" s="775">
        <f t="shared" si="14"/>
        <v>100</v>
      </c>
      <c r="X32" s="1812"/>
      <c r="Y32" s="3194"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4"/>
      <c r="Q33" s="1809" t="str">
        <f t="shared" si="11"/>
        <v>是否直接入户</v>
      </c>
      <c r="R33" s="774" t="s">
        <v>17</v>
      </c>
      <c r="S33" s="775">
        <f t="shared" si="12"/>
        <v>100</v>
      </c>
      <c r="T33" s="774" t="s">
        <v>17</v>
      </c>
      <c r="U33" s="775">
        <f t="shared" si="13"/>
        <v>100</v>
      </c>
      <c r="V33" s="774" t="s">
        <v>17</v>
      </c>
      <c r="W33" s="775">
        <f t="shared" si="14"/>
        <v>100</v>
      </c>
      <c r="X33" s="1812"/>
      <c r="Y33" s="319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4"/>
      <c r="Q34" s="1809">
        <f t="shared" si="11"/>
        <v>111</v>
      </c>
      <c r="R34" s="774" t="s">
        <v>17</v>
      </c>
      <c r="S34" s="775">
        <f t="shared" si="12"/>
        <v>100</v>
      </c>
      <c r="T34" s="774" t="s">
        <v>17</v>
      </c>
      <c r="U34" s="775">
        <f t="shared" si="13"/>
        <v>100</v>
      </c>
      <c r="V34" s="774" t="s">
        <v>17</v>
      </c>
      <c r="W34" s="775">
        <f t="shared" si="14"/>
        <v>100</v>
      </c>
      <c r="X34" s="1812"/>
      <c r="Y34" s="319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4"/>
      <c r="Q36" s="1809">
        <f t="shared" si="11"/>
        <v>111</v>
      </c>
      <c r="R36" s="774" t="s">
        <v>17</v>
      </c>
      <c r="S36" s="775">
        <f t="shared" si="12"/>
        <v>100</v>
      </c>
      <c r="T36" s="774" t="s">
        <v>17</v>
      </c>
      <c r="U36" s="775">
        <f t="shared" si="13"/>
        <v>100</v>
      </c>
      <c r="V36" s="774" t="s">
        <v>17</v>
      </c>
      <c r="W36" s="775">
        <f t="shared" si="14"/>
        <v>100</v>
      </c>
      <c r="X36" s="1812"/>
      <c r="Y36" s="3194"/>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89" t="str">
        <f>A37</f>
        <v>成交单价</v>
      </c>
      <c r="Q37" s="3189"/>
      <c r="R37" s="3230">
        <f>E37</f>
        <v>0</v>
      </c>
      <c r="S37" s="3230"/>
      <c r="T37" s="3230">
        <f>G37</f>
        <v>0</v>
      </c>
      <c r="U37" s="3230"/>
      <c r="V37" s="3230">
        <f>I37</f>
        <v>0</v>
      </c>
      <c r="W37" s="3230"/>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3" t="str">
        <f>A39</f>
        <v>估价对象XX用房的比较价值（楼面单价，元/平方米）</v>
      </c>
      <c r="Q39" s="3184"/>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2020-2</v>
      </c>
      <c r="D48" s="1574">
        <f>EDATE(C48,-1)</f>
        <v>43831</v>
      </c>
      <c r="E48" s="1574">
        <f t="shared" ref="E48:O48" si="16">EDATE(D48,-1)</f>
        <v>43800</v>
      </c>
      <c r="F48" s="1574">
        <f t="shared" si="16"/>
        <v>43770</v>
      </c>
      <c r="G48" s="1574">
        <f t="shared" si="16"/>
        <v>43739</v>
      </c>
      <c r="H48" s="1574">
        <f t="shared" si="16"/>
        <v>43709</v>
      </c>
      <c r="I48" s="1574">
        <f t="shared" si="16"/>
        <v>43678</v>
      </c>
      <c r="J48" s="1574">
        <f t="shared" si="16"/>
        <v>43647</v>
      </c>
      <c r="K48" s="1574">
        <f t="shared" si="16"/>
        <v>43617</v>
      </c>
      <c r="L48" s="1574">
        <f t="shared" si="16"/>
        <v>43586</v>
      </c>
      <c r="M48" s="1574">
        <f t="shared" si="16"/>
        <v>43556</v>
      </c>
      <c r="N48" s="1574">
        <f t="shared" si="16"/>
        <v>43525</v>
      </c>
      <c r="O48" s="1574">
        <f t="shared" si="16"/>
        <v>43497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7" t="s">
        <v>2597</v>
      </c>
      <c r="AC4" s="3196" t="s">
        <v>2598</v>
      </c>
    </row>
    <row r="5" spans="1:29" ht="15">
      <c r="A5" s="404"/>
      <c r="B5" s="405"/>
      <c r="C5" s="3216" t="s">
        <v>2492</v>
      </c>
      <c r="D5" s="3217"/>
      <c r="E5" s="3224" t="s">
        <v>2493</v>
      </c>
      <c r="F5" s="3225"/>
      <c r="G5" s="3216" t="s">
        <v>2494</v>
      </c>
      <c r="H5" s="3217"/>
      <c r="I5" s="3216" t="s">
        <v>2495</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2496</v>
      </c>
      <c r="D6" s="3215"/>
      <c r="E6" s="3222" t="s">
        <v>2496</v>
      </c>
      <c r="F6" s="3223"/>
      <c r="G6" s="3214" t="s">
        <v>2496</v>
      </c>
      <c r="H6" s="3215"/>
      <c r="I6" s="3214" t="s">
        <v>2496</v>
      </c>
      <c r="J6" s="3215"/>
      <c r="K6" s="610" t="s">
        <v>2497</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2498</v>
      </c>
      <c r="B7" s="409"/>
      <c r="C7" s="410">
        <f>'数据-取费表'!B2</f>
        <v>43871</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8" t="s">
        <v>2499</v>
      </c>
      <c r="Q7" s="3220"/>
      <c r="R7" s="770" t="s">
        <v>17</v>
      </c>
      <c r="S7" s="771">
        <f t="shared" ref="S7:S14" si="0">F7</f>
        <v>0</v>
      </c>
      <c r="T7" s="770" t="s">
        <v>17</v>
      </c>
      <c r="U7" s="771">
        <f t="shared" ref="U7:U14" si="1">H7</f>
        <v>0</v>
      </c>
      <c r="V7" s="770" t="s">
        <v>17</v>
      </c>
      <c r="W7" s="771">
        <f t="shared" ref="W7:W14" si="2">J7</f>
        <v>0</v>
      </c>
      <c r="X7" s="772"/>
      <c r="Y7" s="3218" t="s">
        <v>2499</v>
      </c>
      <c r="Z7" s="3219"/>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2502</v>
      </c>
      <c r="Q8" s="3219"/>
      <c r="R8" s="770" t="s">
        <v>17</v>
      </c>
      <c r="S8" s="771">
        <f t="shared" si="0"/>
        <v>0</v>
      </c>
      <c r="T8" s="770" t="s">
        <v>17</v>
      </c>
      <c r="U8" s="771">
        <f t="shared" si="1"/>
        <v>0</v>
      </c>
      <c r="V8" s="770" t="s">
        <v>17</v>
      </c>
      <c r="W8" s="771">
        <f t="shared" si="2"/>
        <v>0</v>
      </c>
      <c r="X8" s="772"/>
      <c r="Y8" s="3218" t="s">
        <v>2502</v>
      </c>
      <c r="Z8" s="3219"/>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2505</v>
      </c>
      <c r="Q9" s="1794" t="str">
        <f t="shared" ref="Q9:Q14" si="6">B9</f>
        <v>用途</v>
      </c>
      <c r="R9" s="770" t="s">
        <v>17</v>
      </c>
      <c r="S9" s="771">
        <f t="shared" si="0"/>
        <v>100</v>
      </c>
      <c r="T9" s="770" t="s">
        <v>17</v>
      </c>
      <c r="U9" s="771">
        <f t="shared" si="1"/>
        <v>100</v>
      </c>
      <c r="V9" s="770" t="s">
        <v>17</v>
      </c>
      <c r="W9" s="771">
        <f t="shared" si="2"/>
        <v>100</v>
      </c>
      <c r="X9" s="772"/>
      <c r="Y9" s="3040"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2510</v>
      </c>
      <c r="Q14" s="1809" t="str">
        <f t="shared" si="6"/>
        <v>交通便捷度</v>
      </c>
      <c r="R14" s="774" t="s">
        <v>17</v>
      </c>
      <c r="S14" s="775">
        <f t="shared" si="0"/>
        <v>100</v>
      </c>
      <c r="T14" s="774" t="s">
        <v>17</v>
      </c>
      <c r="U14" s="775">
        <f t="shared" si="1"/>
        <v>100</v>
      </c>
      <c r="V14" s="774" t="s">
        <v>17</v>
      </c>
      <c r="W14" s="775">
        <f t="shared" si="2"/>
        <v>100</v>
      </c>
      <c r="X14" s="1812"/>
      <c r="Y14" s="3191"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2"/>
      <c r="Q15" s="1809"/>
      <c r="R15" s="774"/>
      <c r="S15" s="775"/>
      <c r="T15" s="774"/>
      <c r="U15" s="775"/>
      <c r="V15" s="774"/>
      <c r="W15" s="775"/>
      <c r="X15" s="1812"/>
      <c r="Y15" s="3192"/>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2"/>
      <c r="Q17" s="1809"/>
      <c r="R17" s="774"/>
      <c r="S17" s="775"/>
      <c r="T17" s="774"/>
      <c r="U17" s="775"/>
      <c r="V17" s="774"/>
      <c r="W17" s="775"/>
      <c r="X17" s="1812"/>
      <c r="Y17" s="3192"/>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2"/>
      <c r="Q19" s="1809"/>
      <c r="R19" s="774"/>
      <c r="S19" s="775"/>
      <c r="T19" s="774"/>
      <c r="U19" s="775"/>
      <c r="V19" s="774"/>
      <c r="W19" s="775"/>
      <c r="X19" s="1812"/>
      <c r="Y19" s="3192"/>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2"/>
      <c r="Q21" s="1809"/>
      <c r="R21" s="774"/>
      <c r="S21" s="775"/>
      <c r="T21" s="774"/>
      <c r="U21" s="775"/>
      <c r="V21" s="774"/>
      <c r="W21" s="775"/>
      <c r="X21" s="1812"/>
      <c r="Y21" s="3192"/>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09">
        <f>B23</f>
        <v>111</v>
      </c>
      <c r="R23" s="774" t="s">
        <v>17</v>
      </c>
      <c r="S23" s="775">
        <f>F23</f>
        <v>100</v>
      </c>
      <c r="T23" s="774" t="s">
        <v>17</v>
      </c>
      <c r="U23" s="775">
        <f>H23</f>
        <v>100</v>
      </c>
      <c r="V23" s="774" t="s">
        <v>17</v>
      </c>
      <c r="W23" s="775">
        <f>J23</f>
        <v>100</v>
      </c>
      <c r="X23" s="1812"/>
      <c r="Y23" s="3192"/>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09">
        <f t="shared" ref="Q24:Q34" si="11">B24</f>
        <v>111</v>
      </c>
      <c r="R24" s="774" t="s">
        <v>17</v>
      </c>
      <c r="S24" s="775">
        <f>F24</f>
        <v>100</v>
      </c>
      <c r="T24" s="774" t="s">
        <v>17</v>
      </c>
      <c r="U24" s="775">
        <f>H24</f>
        <v>100</v>
      </c>
      <c r="V24" s="774" t="s">
        <v>17</v>
      </c>
      <c r="W24" s="775">
        <f>J24</f>
        <v>100</v>
      </c>
      <c r="X24" s="1812"/>
      <c r="Y24" s="3192"/>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2"/>
      <c r="Q25" s="1794">
        <f t="shared" si="11"/>
        <v>111</v>
      </c>
      <c r="R25" s="770" t="s">
        <v>17</v>
      </c>
      <c r="S25" s="771">
        <f>F25</f>
        <v>100</v>
      </c>
      <c r="T25" s="770" t="s">
        <v>17</v>
      </c>
      <c r="U25" s="771">
        <f>H25</f>
        <v>100</v>
      </c>
      <c r="V25" s="770" t="s">
        <v>17</v>
      </c>
      <c r="W25" s="771">
        <f>J25</f>
        <v>100</v>
      </c>
      <c r="X25" s="772"/>
      <c r="Y25" s="3192"/>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3"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4"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4"/>
      <c r="Q28" s="1809" t="str">
        <f t="shared" si="11"/>
        <v>物业等级</v>
      </c>
      <c r="R28" s="774" t="s">
        <v>17</v>
      </c>
      <c r="S28" s="775">
        <f t="shared" si="12"/>
        <v>100</v>
      </c>
      <c r="T28" s="774" t="s">
        <v>17</v>
      </c>
      <c r="U28" s="775">
        <f t="shared" si="13"/>
        <v>100</v>
      </c>
      <c r="V28" s="774" t="s">
        <v>17</v>
      </c>
      <c r="W28" s="775">
        <f t="shared" si="14"/>
        <v>100</v>
      </c>
      <c r="X28" s="1812"/>
      <c r="Y28" s="3194"/>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4"/>
      <c r="Q29" s="1809" t="str">
        <f t="shared" si="11"/>
        <v>有无电梯</v>
      </c>
      <c r="R29" s="774" t="s">
        <v>17</v>
      </c>
      <c r="S29" s="775">
        <f t="shared" si="12"/>
        <v>100</v>
      </c>
      <c r="T29" s="774" t="s">
        <v>17</v>
      </c>
      <c r="U29" s="775">
        <f t="shared" si="13"/>
        <v>100</v>
      </c>
      <c r="V29" s="774" t="s">
        <v>17</v>
      </c>
      <c r="W29" s="775">
        <f t="shared" si="14"/>
        <v>100</v>
      </c>
      <c r="X29" s="1812"/>
      <c r="Y29" s="3194"/>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4"/>
      <c r="Q30" s="1809" t="str">
        <f t="shared" si="11"/>
        <v>建筑面积</v>
      </c>
      <c r="R30" s="774" t="s">
        <v>17</v>
      </c>
      <c r="S30" s="775" t="e">
        <f t="shared" si="12"/>
        <v>#N/A</v>
      </c>
      <c r="T30" s="774" t="s">
        <v>17</v>
      </c>
      <c r="U30" s="775" t="e">
        <f t="shared" si="13"/>
        <v>#N/A</v>
      </c>
      <c r="V30" s="774" t="s">
        <v>17</v>
      </c>
      <c r="W30" s="775" t="e">
        <f t="shared" si="14"/>
        <v>#N/A</v>
      </c>
      <c r="X30" s="1812"/>
      <c r="Y30" s="3194"/>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4"/>
      <c r="Q31" s="1794"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4" t="s">
        <v>2515</v>
      </c>
      <c r="Q32" s="1809">
        <f t="shared" si="11"/>
        <v>111</v>
      </c>
      <c r="R32" s="774" t="s">
        <v>17</v>
      </c>
      <c r="S32" s="775">
        <f t="shared" si="12"/>
        <v>100</v>
      </c>
      <c r="T32" s="774" t="s">
        <v>17</v>
      </c>
      <c r="U32" s="775">
        <f t="shared" si="13"/>
        <v>100</v>
      </c>
      <c r="V32" s="774" t="s">
        <v>17</v>
      </c>
      <c r="W32" s="775">
        <f t="shared" si="14"/>
        <v>100</v>
      </c>
      <c r="X32" s="1812"/>
      <c r="Y32" s="3194"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4"/>
      <c r="Q33" s="1809">
        <f t="shared" si="11"/>
        <v>111</v>
      </c>
      <c r="R33" s="774" t="s">
        <v>17</v>
      </c>
      <c r="S33" s="775">
        <f t="shared" si="12"/>
        <v>100</v>
      </c>
      <c r="T33" s="774" t="s">
        <v>17</v>
      </c>
      <c r="U33" s="775">
        <f t="shared" si="13"/>
        <v>100</v>
      </c>
      <c r="V33" s="774" t="s">
        <v>17</v>
      </c>
      <c r="W33" s="775">
        <f t="shared" si="14"/>
        <v>100</v>
      </c>
      <c r="X33" s="1812"/>
      <c r="Y33" s="3194"/>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4"/>
      <c r="Q34" s="1809">
        <f t="shared" si="11"/>
        <v>111</v>
      </c>
      <c r="R34" s="774" t="s">
        <v>17</v>
      </c>
      <c r="S34" s="775">
        <f t="shared" si="12"/>
        <v>100</v>
      </c>
      <c r="T34" s="774" t="s">
        <v>17</v>
      </c>
      <c r="U34" s="775">
        <f t="shared" si="13"/>
        <v>100</v>
      </c>
      <c r="V34" s="774" t="s">
        <v>17</v>
      </c>
      <c r="W34" s="775">
        <f t="shared" si="14"/>
        <v>100</v>
      </c>
      <c r="X34" s="1812"/>
      <c r="Y34" s="3194"/>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89" t="str">
        <f>A35</f>
        <v>成交单价（元/平方米）</v>
      </c>
      <c r="Q35" s="3189"/>
      <c r="R35" s="3230">
        <f>E35</f>
        <v>0</v>
      </c>
      <c r="S35" s="3230"/>
      <c r="T35" s="3230">
        <f>G35</f>
        <v>0</v>
      </c>
      <c r="U35" s="3230"/>
      <c r="V35" s="3230">
        <f>I35</f>
        <v>0</v>
      </c>
      <c r="W35" s="3230"/>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2020-2</v>
      </c>
      <c r="D46" s="1574">
        <f>EDATE(C46,-1)</f>
        <v>43831</v>
      </c>
      <c r="E46" s="1574">
        <f t="shared" ref="E46:O46" si="16">EDATE(D46,-1)</f>
        <v>43800</v>
      </c>
      <c r="F46" s="1574">
        <f t="shared" si="16"/>
        <v>43770</v>
      </c>
      <c r="G46" s="1574">
        <f t="shared" si="16"/>
        <v>43739</v>
      </c>
      <c r="H46" s="1574">
        <f t="shared" si="16"/>
        <v>43709</v>
      </c>
      <c r="I46" s="1574">
        <f t="shared" si="16"/>
        <v>43678</v>
      </c>
      <c r="J46" s="1574">
        <f t="shared" si="16"/>
        <v>43647</v>
      </c>
      <c r="K46" s="1574">
        <f t="shared" si="16"/>
        <v>43617</v>
      </c>
      <c r="L46" s="1574">
        <f t="shared" si="16"/>
        <v>43586</v>
      </c>
      <c r="M46" s="1574">
        <f t="shared" si="16"/>
        <v>43556</v>
      </c>
      <c r="N46" s="1574">
        <f t="shared" si="16"/>
        <v>43525</v>
      </c>
      <c r="O46" s="1574">
        <f t="shared" si="16"/>
        <v>43497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2"/>
      <c r="Y4" s="3208" t="s">
        <v>2600</v>
      </c>
      <c r="Z4" s="3209"/>
      <c r="AA4" s="3196" t="s">
        <v>2596</v>
      </c>
      <c r="AB4" s="3197" t="s">
        <v>2597</v>
      </c>
      <c r="AC4" s="3196" t="s">
        <v>2598</v>
      </c>
    </row>
    <row r="5" spans="1:29" ht="15">
      <c r="A5" s="404"/>
      <c r="B5" s="405"/>
      <c r="C5" s="3216" t="s">
        <v>2492</v>
      </c>
      <c r="D5" s="3217"/>
      <c r="E5" s="3224" t="s">
        <v>2493</v>
      </c>
      <c r="F5" s="3225"/>
      <c r="G5" s="3216" t="s">
        <v>2494</v>
      </c>
      <c r="H5" s="3217"/>
      <c r="I5" s="3216" t="s">
        <v>2495</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81" t="s">
        <v>2744</v>
      </c>
      <c r="D6" s="3282"/>
      <c r="E6" s="3283" t="s">
        <v>2744</v>
      </c>
      <c r="F6" s="3284"/>
      <c r="G6" s="3281" t="s">
        <v>2744</v>
      </c>
      <c r="H6" s="3282"/>
      <c r="I6" s="3281" t="s">
        <v>2744</v>
      </c>
      <c r="J6" s="3282"/>
      <c r="K6" s="610" t="s">
        <v>2497</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2498</v>
      </c>
      <c r="B7" s="409"/>
      <c r="C7" s="410">
        <f>'数据-取费表'!B2</f>
        <v>43871</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8" t="s">
        <v>2499</v>
      </c>
      <c r="Q7" s="3220"/>
      <c r="R7" s="770" t="s">
        <v>17</v>
      </c>
      <c r="S7" s="771">
        <f t="shared" ref="S7:S15" si="0">F7</f>
        <v>0</v>
      </c>
      <c r="T7" s="770" t="s">
        <v>17</v>
      </c>
      <c r="U7" s="771">
        <f t="shared" ref="U7:U15" si="1">H7</f>
        <v>0</v>
      </c>
      <c r="V7" s="770" t="s">
        <v>17</v>
      </c>
      <c r="W7" s="771">
        <f t="shared" ref="W7:W15" si="2">J7</f>
        <v>0</v>
      </c>
      <c r="X7" s="772"/>
      <c r="Y7" s="3218" t="s">
        <v>2499</v>
      </c>
      <c r="Z7" s="3219"/>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2502</v>
      </c>
      <c r="Q8" s="3219"/>
      <c r="R8" s="770" t="s">
        <v>17</v>
      </c>
      <c r="S8" s="771">
        <f t="shared" si="0"/>
        <v>0</v>
      </c>
      <c r="T8" s="770" t="s">
        <v>17</v>
      </c>
      <c r="U8" s="771">
        <f t="shared" si="1"/>
        <v>0</v>
      </c>
      <c r="V8" s="770" t="s">
        <v>17</v>
      </c>
      <c r="W8" s="771">
        <f t="shared" si="2"/>
        <v>0</v>
      </c>
      <c r="X8" s="772"/>
      <c r="Y8" s="3218" t="s">
        <v>2502</v>
      </c>
      <c r="Z8" s="3219"/>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9" t="s">
        <v>2505</v>
      </c>
      <c r="Q9" s="1794" t="str">
        <f t="shared" ref="Q9:Q15" si="6">B9</f>
        <v>用途</v>
      </c>
      <c r="R9" s="770" t="s">
        <v>17</v>
      </c>
      <c r="S9" s="771">
        <f t="shared" si="0"/>
        <v>100</v>
      </c>
      <c r="T9" s="770" t="s">
        <v>17</v>
      </c>
      <c r="U9" s="771">
        <f t="shared" si="1"/>
        <v>100</v>
      </c>
      <c r="V9" s="770" t="s">
        <v>17</v>
      </c>
      <c r="W9" s="771">
        <f t="shared" si="2"/>
        <v>100</v>
      </c>
      <c r="X9" s="772"/>
      <c r="Y9" s="3040"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89"/>
      <c r="Q10" s="1794"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2510</v>
      </c>
      <c r="Q15" s="1809" t="str">
        <f t="shared" si="6"/>
        <v>产业集聚程度</v>
      </c>
      <c r="R15" s="774" t="s">
        <v>17</v>
      </c>
      <c r="S15" s="775">
        <f t="shared" si="0"/>
        <v>100</v>
      </c>
      <c r="T15" s="774" t="s">
        <v>17</v>
      </c>
      <c r="U15" s="775">
        <f t="shared" si="1"/>
        <v>100</v>
      </c>
      <c r="V15" s="774" t="s">
        <v>17</v>
      </c>
      <c r="W15" s="775">
        <f t="shared" si="2"/>
        <v>100</v>
      </c>
      <c r="X15" s="1812"/>
      <c r="Y15" s="3191"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09" t="str">
        <f t="shared" ref="Q19:Q33" si="8">B19</f>
        <v>区域土地利用方向</v>
      </c>
      <c r="R19" s="774" t="s">
        <v>17</v>
      </c>
      <c r="S19" s="775">
        <f>F19</f>
        <v>100</v>
      </c>
      <c r="T19" s="774" t="s">
        <v>17</v>
      </c>
      <c r="U19" s="775">
        <f>H19</f>
        <v>100</v>
      </c>
      <c r="V19" s="774" t="s">
        <v>17</v>
      </c>
      <c r="W19" s="775">
        <f>J19</f>
        <v>100</v>
      </c>
      <c r="X19" s="1812"/>
      <c r="Y19" s="3192"/>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92"/>
      <c r="Q20" s="1809"/>
      <c r="R20" s="774"/>
      <c r="S20" s="775"/>
      <c r="T20" s="774"/>
      <c r="U20" s="775"/>
      <c r="V20" s="774"/>
      <c r="W20" s="775"/>
      <c r="X20" s="1812"/>
      <c r="Y20" s="3192"/>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09" t="str">
        <f t="shared" si="8"/>
        <v>环境状况</v>
      </c>
      <c r="R21" s="774" t="s">
        <v>17</v>
      </c>
      <c r="S21" s="775">
        <f>F21</f>
        <v>100</v>
      </c>
      <c r="T21" s="774" t="s">
        <v>17</v>
      </c>
      <c r="U21" s="775">
        <f>H21</f>
        <v>100</v>
      </c>
      <c r="V21" s="774" t="s">
        <v>17</v>
      </c>
      <c r="W21" s="775">
        <f>J21</f>
        <v>100</v>
      </c>
      <c r="X21" s="1812"/>
      <c r="Y21" s="3192"/>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94" t="str">
        <f t="shared" si="8"/>
        <v>公共配套设施</v>
      </c>
      <c r="R23" s="770" t="s">
        <v>17</v>
      </c>
      <c r="S23" s="771">
        <f>F23</f>
        <v>100</v>
      </c>
      <c r="T23" s="770" t="s">
        <v>17</v>
      </c>
      <c r="U23" s="771">
        <f>H23</f>
        <v>100</v>
      </c>
      <c r="V23" s="770" t="s">
        <v>17</v>
      </c>
      <c r="W23" s="771">
        <f>J23</f>
        <v>100</v>
      </c>
      <c r="X23" s="772"/>
      <c r="Y23" s="3192"/>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2"/>
      <c r="Q24" s="1794"/>
      <c r="R24" s="770"/>
      <c r="S24" s="771"/>
      <c r="T24" s="770"/>
      <c r="U24" s="771"/>
      <c r="V24" s="770"/>
      <c r="W24" s="771"/>
      <c r="X24" s="772"/>
      <c r="Y24" s="3192"/>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94"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2"/>
      <c r="Q26" s="1794"/>
      <c r="R26" s="770"/>
      <c r="S26" s="771"/>
      <c r="T26" s="770"/>
      <c r="U26" s="771"/>
      <c r="V26" s="770"/>
      <c r="W26" s="771"/>
      <c r="X26" s="772"/>
      <c r="Y26" s="3192"/>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2"/>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09" t="str">
        <f t="shared" si="8"/>
        <v>毗邻道路的类型与等级</v>
      </c>
      <c r="R28" s="774" t="s">
        <v>17</v>
      </c>
      <c r="S28" s="775">
        <f t="shared" si="10"/>
        <v>100</v>
      </c>
      <c r="T28" s="774" t="s">
        <v>17</v>
      </c>
      <c r="U28" s="775">
        <f t="shared" si="11"/>
        <v>100</v>
      </c>
      <c r="V28" s="774" t="s">
        <v>17</v>
      </c>
      <c r="W28" s="775">
        <f t="shared" si="12"/>
        <v>100</v>
      </c>
      <c r="X28" s="1812"/>
      <c r="Y28" s="3192"/>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2"/>
      <c r="Q29" s="1809"/>
      <c r="R29" s="774"/>
      <c r="S29" s="775"/>
      <c r="T29" s="774"/>
      <c r="U29" s="775"/>
      <c r="V29" s="774"/>
      <c r="W29" s="775"/>
      <c r="X29" s="1812"/>
      <c r="Y29" s="3192"/>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09" t="str">
        <f t="shared" si="8"/>
        <v>土地级别</v>
      </c>
      <c r="R30" s="774" t="s">
        <v>17</v>
      </c>
      <c r="S30" s="775">
        <f t="shared" si="10"/>
        <v>100</v>
      </c>
      <c r="T30" s="774" t="s">
        <v>17</v>
      </c>
      <c r="U30" s="775">
        <f t="shared" si="11"/>
        <v>100</v>
      </c>
      <c r="V30" s="774" t="s">
        <v>17</v>
      </c>
      <c r="W30" s="775">
        <f t="shared" si="12"/>
        <v>100</v>
      </c>
      <c r="X30" s="1812"/>
      <c r="Y30" s="3192"/>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09">
        <f t="shared" si="8"/>
        <v>111</v>
      </c>
      <c r="R31" s="774" t="s">
        <v>17</v>
      </c>
      <c r="S31" s="775">
        <f t="shared" si="10"/>
        <v>100</v>
      </c>
      <c r="T31" s="774" t="s">
        <v>17</v>
      </c>
      <c r="U31" s="775">
        <f t="shared" si="11"/>
        <v>100</v>
      </c>
      <c r="V31" s="774" t="s">
        <v>17</v>
      </c>
      <c r="W31" s="775">
        <f t="shared" si="12"/>
        <v>100</v>
      </c>
      <c r="X31" s="1812"/>
      <c r="Y31" s="3192"/>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3" t="s">
        <v>2515</v>
      </c>
      <c r="Q32" s="1809">
        <f t="shared" si="8"/>
        <v>111</v>
      </c>
      <c r="R32" s="774" t="s">
        <v>17</v>
      </c>
      <c r="S32" s="775">
        <f t="shared" si="10"/>
        <v>100</v>
      </c>
      <c r="T32" s="774" t="s">
        <v>17</v>
      </c>
      <c r="U32" s="775">
        <f t="shared" si="11"/>
        <v>100</v>
      </c>
      <c r="V32" s="774" t="s">
        <v>17</v>
      </c>
      <c r="W32" s="775">
        <f t="shared" si="12"/>
        <v>100</v>
      </c>
      <c r="X32" s="1812"/>
      <c r="Y32" s="3194"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4"/>
      <c r="Q33" s="1809">
        <f t="shared" si="8"/>
        <v>111</v>
      </c>
      <c r="R33" s="777" t="s">
        <v>17</v>
      </c>
      <c r="S33" s="778">
        <f t="shared" si="10"/>
        <v>100</v>
      </c>
      <c r="T33" s="777" t="s">
        <v>17</v>
      </c>
      <c r="U33" s="778">
        <f t="shared" si="11"/>
        <v>100</v>
      </c>
      <c r="V33" s="777" t="s">
        <v>17</v>
      </c>
      <c r="W33" s="778">
        <f t="shared" si="12"/>
        <v>100</v>
      </c>
      <c r="X33" s="779"/>
      <c r="Y33" s="3194"/>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4"/>
      <c r="Q34" s="1809" t="str">
        <f>B34</f>
        <v>宗地面积</v>
      </c>
      <c r="R34" s="774" t="s">
        <v>17</v>
      </c>
      <c r="S34" s="775" t="e">
        <f t="shared" si="10"/>
        <v>#N/A</v>
      </c>
      <c r="T34" s="774" t="s">
        <v>17</v>
      </c>
      <c r="U34" s="775" t="e">
        <f t="shared" si="11"/>
        <v>#N/A</v>
      </c>
      <c r="V34" s="774" t="s">
        <v>17</v>
      </c>
      <c r="W34" s="775" t="e">
        <f t="shared" si="12"/>
        <v>#N/A</v>
      </c>
      <c r="X34" s="1812"/>
      <c r="Y34" s="3194"/>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4"/>
      <c r="Q35" s="1809" t="str">
        <f t="shared" ref="Q35:Q40" si="14">B35</f>
        <v>宗地形状</v>
      </c>
      <c r="R35" s="774" t="s">
        <v>17</v>
      </c>
      <c r="S35" s="775">
        <f t="shared" si="10"/>
        <v>100</v>
      </c>
      <c r="T35" s="774" t="s">
        <v>17</v>
      </c>
      <c r="U35" s="775">
        <f t="shared" si="11"/>
        <v>100</v>
      </c>
      <c r="V35" s="774" t="s">
        <v>17</v>
      </c>
      <c r="W35" s="775">
        <f t="shared" si="12"/>
        <v>100</v>
      </c>
      <c r="X35" s="1812"/>
      <c r="Y35" s="3194"/>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4"/>
      <c r="Q36" s="1809"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4" t="s">
        <v>2515</v>
      </c>
      <c r="Q37" s="1809" t="str">
        <f t="shared" si="14"/>
        <v>工程地质条件</v>
      </c>
      <c r="R37" s="774" t="s">
        <v>17</v>
      </c>
      <c r="S37" s="775">
        <f t="shared" si="10"/>
        <v>100</v>
      </c>
      <c r="T37" s="774" t="s">
        <v>17</v>
      </c>
      <c r="U37" s="775">
        <f t="shared" si="11"/>
        <v>100</v>
      </c>
      <c r="V37" s="774" t="s">
        <v>17</v>
      </c>
      <c r="W37" s="775">
        <f t="shared" si="12"/>
        <v>100</v>
      </c>
      <c r="X37" s="1812"/>
      <c r="Y37" s="3194"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4"/>
      <c r="Q38" s="1809">
        <f t="shared" si="14"/>
        <v>111</v>
      </c>
      <c r="R38" s="774" t="s">
        <v>17</v>
      </c>
      <c r="S38" s="775">
        <f t="shared" si="10"/>
        <v>100</v>
      </c>
      <c r="T38" s="774" t="s">
        <v>17</v>
      </c>
      <c r="U38" s="775">
        <f t="shared" si="11"/>
        <v>100</v>
      </c>
      <c r="V38" s="774" t="s">
        <v>17</v>
      </c>
      <c r="W38" s="775">
        <f t="shared" si="12"/>
        <v>100</v>
      </c>
      <c r="X38" s="1812"/>
      <c r="Y38" s="319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4"/>
      <c r="Q39" s="1809">
        <f t="shared" si="14"/>
        <v>111</v>
      </c>
      <c r="R39" s="774" t="s">
        <v>17</v>
      </c>
      <c r="S39" s="775">
        <f t="shared" si="10"/>
        <v>100</v>
      </c>
      <c r="T39" s="774" t="s">
        <v>17</v>
      </c>
      <c r="U39" s="775">
        <f t="shared" si="11"/>
        <v>100</v>
      </c>
      <c r="V39" s="774" t="s">
        <v>17</v>
      </c>
      <c r="W39" s="775">
        <f t="shared" si="12"/>
        <v>100</v>
      </c>
      <c r="X39" s="1812"/>
      <c r="Y39" s="3194"/>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4"/>
      <c r="Q40" s="1809">
        <f t="shared" si="14"/>
        <v>111</v>
      </c>
      <c r="R40" s="777" t="s">
        <v>17</v>
      </c>
      <c r="S40" s="778">
        <f t="shared" si="10"/>
        <v>100</v>
      </c>
      <c r="T40" s="777" t="s">
        <v>17</v>
      </c>
      <c r="U40" s="778">
        <f t="shared" si="11"/>
        <v>100</v>
      </c>
      <c r="V40" s="777" t="s">
        <v>17</v>
      </c>
      <c r="W40" s="778">
        <f t="shared" si="12"/>
        <v>100</v>
      </c>
      <c r="X40" s="779"/>
      <c r="Y40" s="3194"/>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186" t="s">
        <v>2711</v>
      </c>
      <c r="H50" s="3187"/>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1159.21</v>
      </c>
      <c r="F51" s="691" t="e">
        <f t="shared" ref="F51:F60" si="15">ROUND(B51*E51/10000,0)</f>
        <v>#DIV/0!</v>
      </c>
      <c r="G51" s="3188"/>
      <c r="H51" s="318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90"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90"/>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90"/>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90"/>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1164.32</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1244.6199999999999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1.66</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2"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1.66</v>
      </c>
      <c r="AA7" s="1605"/>
      <c r="AB7" s="1605"/>
      <c r="AC7" s="1606"/>
      <c r="AD7" s="1607"/>
      <c r="AE7" s="1607"/>
      <c r="AF7" s="1607"/>
      <c r="AG7" s="1607"/>
      <c r="AH7" s="1607"/>
      <c r="AI7" s="1607"/>
      <c r="AJ7" s="1608"/>
    </row>
    <row r="8" spans="1:36" ht="15">
      <c r="A8" s="3293"/>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5" t="s">
        <v>2787</v>
      </c>
      <c r="X8" s="3286"/>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93"/>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7"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3"/>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7" t="s">
        <v>2811</v>
      </c>
      <c r="X11" s="1613" t="s">
        <v>2812</v>
      </c>
      <c r="Y11" s="1614">
        <f>$G$3</f>
        <v>1.66</v>
      </c>
      <c r="Z11" s="1614">
        <f t="shared" ref="Z11:AJ11" si="3">$G$3</f>
        <v>1.66</v>
      </c>
      <c r="AA11" s="1614">
        <f t="shared" si="3"/>
        <v>1.66</v>
      </c>
      <c r="AB11" s="1614">
        <f t="shared" si="3"/>
        <v>1.66</v>
      </c>
      <c r="AC11" s="1614">
        <f t="shared" si="3"/>
        <v>1.66</v>
      </c>
      <c r="AD11" s="1614">
        <f t="shared" si="3"/>
        <v>1.66</v>
      </c>
      <c r="AE11" s="1614">
        <f t="shared" si="3"/>
        <v>1.66</v>
      </c>
      <c r="AF11" s="1614">
        <f t="shared" si="3"/>
        <v>1.66</v>
      </c>
      <c r="AG11" s="1614">
        <f t="shared" si="3"/>
        <v>1.66</v>
      </c>
      <c r="AH11" s="1614">
        <f t="shared" si="3"/>
        <v>1.66</v>
      </c>
      <c r="AI11" s="1614">
        <f t="shared" si="3"/>
        <v>1.66</v>
      </c>
      <c r="AJ11" s="1614">
        <f t="shared" si="3"/>
        <v>1.66</v>
      </c>
    </row>
    <row r="12" spans="1:36" ht="25.5" thickBot="1">
      <c r="A12" s="3292"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7"/>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7"/>
      <c r="X13" s="1615"/>
      <c r="Y13" s="1612">
        <f>(-0.163*(Y12^2)-0.59*Y12+7617)*(10^(-4))/Y11</f>
        <v>0.45885542168674703</v>
      </c>
      <c r="Z13" s="1612">
        <f t="shared" ref="Z13:AJ13" si="5">(-0.163*(Z12^2)-0.59*Z12+7617)*(10^(-4))/Z11</f>
        <v>0.45885542168674703</v>
      </c>
      <c r="AA13" s="1612">
        <f t="shared" si="5"/>
        <v>0.45885542168674703</v>
      </c>
      <c r="AB13" s="1612">
        <f t="shared" si="5"/>
        <v>0.45885542168674703</v>
      </c>
      <c r="AC13" s="1612">
        <f t="shared" si="5"/>
        <v>0.45885542168674703</v>
      </c>
      <c r="AD13" s="1612">
        <f t="shared" si="5"/>
        <v>0.45885542168674703</v>
      </c>
      <c r="AE13" s="1612">
        <f t="shared" si="5"/>
        <v>0.45885542168674703</v>
      </c>
      <c r="AF13" s="1612">
        <f t="shared" si="5"/>
        <v>0.45885542168674703</v>
      </c>
      <c r="AG13" s="1612">
        <f t="shared" si="5"/>
        <v>0.45885542168674703</v>
      </c>
      <c r="AH13" s="1612">
        <f t="shared" si="5"/>
        <v>0.45885542168674703</v>
      </c>
      <c r="AI13" s="1612">
        <f t="shared" si="5"/>
        <v>0.45885542168674703</v>
      </c>
      <c r="AJ13" s="1612">
        <f t="shared" si="5"/>
        <v>0.45885542168674703</v>
      </c>
    </row>
    <row r="14" spans="1:36" ht="15">
      <c r="A14" s="3294"/>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5"/>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2"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3"/>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43871</v>
      </c>
      <c r="H19" s="2797" t="s">
        <v>2842</v>
      </c>
      <c r="I19" s="927" t="str">
        <f>IF(H19="季度增幅（自定义）",SUMIF(N21:N24,E2,O21:O24),"")</f>
        <v/>
      </c>
      <c r="J19" s="2794"/>
      <c r="K19" s="1377"/>
      <c r="L19" s="2798" t="s">
        <v>2843</v>
      </c>
      <c r="M19" s="1733">
        <f>ROUND(SUMIF(地价!B2:F2,E2,地价!B25:F25),0)</f>
        <v>0</v>
      </c>
      <c r="N19" s="2799" t="s">
        <v>2844</v>
      </c>
      <c r="O19" s="928">
        <f>ROUNDDOWN(DATEDIF(E19,G19,"M")/3,0)</f>
        <v>24</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1.6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1.7000000000000002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2"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4"/>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6" t="s">
        <v>2921</v>
      </c>
      <c r="B90" s="3296"/>
      <c r="C90" s="3296"/>
      <c r="D90" s="3296"/>
      <c r="E90" s="3296"/>
      <c r="F90" s="3296"/>
      <c r="G90" s="3296"/>
      <c r="H90" s="3296"/>
      <c r="I90" s="3296"/>
      <c r="J90" s="3296"/>
      <c r="K90" s="2891"/>
      <c r="L90" s="2891"/>
      <c r="M90" s="2891"/>
      <c r="N90" s="2891"/>
    </row>
    <row r="91" spans="1:37">
      <c r="A91" s="3298" t="s">
        <v>2922</v>
      </c>
      <c r="B91" s="3298" t="s">
        <v>2923</v>
      </c>
      <c r="C91" s="2845" t="s">
        <v>2924</v>
      </c>
      <c r="D91" s="2846"/>
      <c r="E91" s="2846"/>
      <c r="F91" s="2846"/>
      <c r="G91" s="2846"/>
      <c r="H91" s="2846"/>
      <c r="I91" s="2846"/>
      <c r="J91" s="2892"/>
      <c r="K91" s="2893"/>
      <c r="L91" s="2893"/>
      <c r="M91" s="2893"/>
      <c r="N91" s="2893"/>
    </row>
    <row r="92" spans="1:37">
      <c r="A92" s="3298"/>
      <c r="B92" s="3298"/>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9"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0"/>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9" t="s">
        <v>2926</v>
      </c>
      <c r="B101" s="2898" t="s">
        <v>2927</v>
      </c>
      <c r="C101" s="2899">
        <f>$G$3</f>
        <v>1.66</v>
      </c>
      <c r="D101" s="2899">
        <f t="shared" ref="D101:N101" si="31">$G$3</f>
        <v>1.66</v>
      </c>
      <c r="E101" s="2899">
        <f t="shared" si="31"/>
        <v>1.66</v>
      </c>
      <c r="F101" s="2899">
        <f t="shared" si="31"/>
        <v>1.66</v>
      </c>
      <c r="G101" s="2899">
        <f t="shared" si="31"/>
        <v>1.66</v>
      </c>
      <c r="H101" s="2899">
        <f t="shared" si="31"/>
        <v>1.66</v>
      </c>
      <c r="I101" s="2899">
        <f t="shared" si="31"/>
        <v>1.66</v>
      </c>
      <c r="J101" s="2899">
        <f t="shared" si="31"/>
        <v>1.66</v>
      </c>
      <c r="K101" s="2899">
        <f t="shared" si="31"/>
        <v>1.66</v>
      </c>
      <c r="L101" s="2899">
        <f t="shared" si="31"/>
        <v>1.66</v>
      </c>
      <c r="M101" s="2899">
        <f t="shared" si="31"/>
        <v>1.66</v>
      </c>
      <c r="N101" s="2899">
        <f t="shared" si="31"/>
        <v>1.66</v>
      </c>
    </row>
    <row r="102" spans="1:14">
      <c r="A102" s="3300"/>
      <c r="B102" s="2894">
        <v>1</v>
      </c>
      <c r="C102" s="2895">
        <f>1.9362/C101</f>
        <v>1.1663855421686746</v>
      </c>
      <c r="D102" s="2895">
        <f>1.9362/D101</f>
        <v>1.1663855421686746</v>
      </c>
      <c r="E102" s="2895">
        <f>1.8629/E101</f>
        <v>1.1222289156626506</v>
      </c>
      <c r="F102" s="2895">
        <f>1.8629/F101</f>
        <v>1.1222289156626506</v>
      </c>
      <c r="G102" s="2895">
        <f>1.8629/G101</f>
        <v>1.1222289156626506</v>
      </c>
      <c r="H102" s="2895">
        <f>1.8629/H101</f>
        <v>1.1222289156626506</v>
      </c>
      <c r="I102" s="2895">
        <f>1.8629/I101</f>
        <v>1.1222289156626506</v>
      </c>
      <c r="J102" s="2895">
        <f>1.942/J101</f>
        <v>1.1698795180722892</v>
      </c>
      <c r="K102" s="2895">
        <f>1.942/K101</f>
        <v>1.1698795180722892</v>
      </c>
      <c r="L102" s="2895">
        <f>1.942/L101</f>
        <v>1.1698795180722892</v>
      </c>
      <c r="M102" s="2895">
        <f>1.942/M101</f>
        <v>1.1698795180722892</v>
      </c>
      <c r="N102" s="2895">
        <f>1.942/N101</f>
        <v>1.1698795180722892</v>
      </c>
    </row>
    <row r="103" spans="1:14">
      <c r="A103" s="3300"/>
      <c r="B103" s="2894">
        <v>2</v>
      </c>
      <c r="C103" s="2895">
        <f>1.4198/C101</f>
        <v>0.85530120481927707</v>
      </c>
      <c r="D103" s="2895">
        <f>1.4198/D101</f>
        <v>0.85530120481927707</v>
      </c>
      <c r="E103" s="2895">
        <f>1.3372/E101</f>
        <v>0.80554216867469886</v>
      </c>
      <c r="F103" s="2895">
        <f>1.3372/F101</f>
        <v>0.80554216867469886</v>
      </c>
      <c r="G103" s="2895">
        <f>1.3372/G101</f>
        <v>0.80554216867469886</v>
      </c>
      <c r="H103" s="2895">
        <f>1.3372/H101</f>
        <v>0.80554216867469886</v>
      </c>
      <c r="I103" s="2895">
        <f>1.3372/I101</f>
        <v>0.80554216867469886</v>
      </c>
      <c r="J103" s="2895">
        <f>1.2799/J101</f>
        <v>0.77102409638554226</v>
      </c>
      <c r="K103" s="2895">
        <f>1.2799/K101</f>
        <v>0.77102409638554226</v>
      </c>
      <c r="L103" s="2895">
        <f>1.2799/L101</f>
        <v>0.77102409638554226</v>
      </c>
      <c r="M103" s="2895">
        <f>1.2799/M101</f>
        <v>0.77102409638554226</v>
      </c>
      <c r="N103" s="2895">
        <f>1.2799/N101</f>
        <v>0.77102409638554226</v>
      </c>
    </row>
    <row r="104" spans="1:14">
      <c r="A104" s="3300"/>
      <c r="B104" s="2894">
        <v>3</v>
      </c>
      <c r="C104" s="2895">
        <f>1.1594/C101</f>
        <v>0.69843373493975902</v>
      </c>
      <c r="D104" s="2895">
        <f>1.1594/D101</f>
        <v>0.69843373493975902</v>
      </c>
      <c r="E104" s="2895">
        <f>1.0788/E101</f>
        <v>0.64987951807228916</v>
      </c>
      <c r="F104" s="2895">
        <f>1.0788/F101</f>
        <v>0.64987951807228916</v>
      </c>
      <c r="G104" s="2895">
        <f>1.0788/G101</f>
        <v>0.64987951807228916</v>
      </c>
      <c r="H104" s="2895">
        <f>1.0788/H101</f>
        <v>0.64987951807228916</v>
      </c>
      <c r="I104" s="2895">
        <f>1.0788/I101</f>
        <v>0.64987951807228916</v>
      </c>
      <c r="J104" s="2895">
        <f>1.0072/J101</f>
        <v>0.60674698795180737</v>
      </c>
      <c r="K104" s="2895">
        <f>1.0072/K101</f>
        <v>0.60674698795180737</v>
      </c>
      <c r="L104" s="2895">
        <f>1.0072/L101</f>
        <v>0.60674698795180737</v>
      </c>
      <c r="M104" s="2895">
        <f>1.0072/M101</f>
        <v>0.60674698795180737</v>
      </c>
      <c r="N104" s="2895">
        <f>1.0072/N101</f>
        <v>0.60674698795180737</v>
      </c>
    </row>
    <row r="105" spans="1:14">
      <c r="A105" s="3300"/>
      <c r="B105" s="2894">
        <v>4</v>
      </c>
      <c r="C105" s="2895">
        <f>0.9622/C101</f>
        <v>0.5796385542168675</v>
      </c>
      <c r="D105" s="2895">
        <f>0.9622/D101</f>
        <v>0.5796385542168675</v>
      </c>
      <c r="E105" s="2895">
        <f>0.8656/E101</f>
        <v>0.52144578313253021</v>
      </c>
      <c r="F105" s="2895">
        <f>0.8656/F101</f>
        <v>0.52144578313253021</v>
      </c>
      <c r="G105" s="2895">
        <f>0.8656/G101</f>
        <v>0.52144578313253021</v>
      </c>
      <c r="H105" s="2895">
        <f>0.8656/H101</f>
        <v>0.52144578313253021</v>
      </c>
      <c r="I105" s="2895">
        <f>0.8656/I101</f>
        <v>0.52144578313253021</v>
      </c>
      <c r="J105" s="2895">
        <f>0.7525/J101</f>
        <v>0.45331325301204817</v>
      </c>
      <c r="K105" s="2895">
        <f>0.7525/K101</f>
        <v>0.45331325301204817</v>
      </c>
      <c r="L105" s="2895">
        <f>0.7525/L101</f>
        <v>0.45331325301204817</v>
      </c>
      <c r="M105" s="2895">
        <f>0.7525/M101</f>
        <v>0.45331325301204817</v>
      </c>
      <c r="N105" s="2895">
        <f>0.7525/N101</f>
        <v>0.45331325301204817</v>
      </c>
    </row>
    <row r="106" spans="1:14">
      <c r="A106" s="3300"/>
      <c r="B106" s="2894">
        <v>5</v>
      </c>
      <c r="C106" s="2895">
        <f>0.8417/C101</f>
        <v>0.50704819277108437</v>
      </c>
      <c r="D106" s="2895">
        <f>0.8417/D101</f>
        <v>0.50704819277108437</v>
      </c>
      <c r="E106" s="2895">
        <f>0.7371/E101</f>
        <v>0.44403614457831325</v>
      </c>
      <c r="F106" s="2895">
        <f>0.7371/F101</f>
        <v>0.44403614457831325</v>
      </c>
      <c r="G106" s="2895">
        <f>0.7371/G101</f>
        <v>0.44403614457831325</v>
      </c>
      <c r="H106" s="2895">
        <f>0.7371/H101</f>
        <v>0.44403614457831325</v>
      </c>
      <c r="I106" s="2895">
        <f>0.7371/I101</f>
        <v>0.44403614457831325</v>
      </c>
      <c r="J106" s="2895">
        <f>0.5659/J101</f>
        <v>0.34090361445783129</v>
      </c>
      <c r="K106" s="2895">
        <f>0.5659/K101</f>
        <v>0.34090361445783129</v>
      </c>
      <c r="L106" s="2895">
        <f>0.5659/L101</f>
        <v>0.34090361445783129</v>
      </c>
      <c r="M106" s="2895">
        <f>0.5659/M101</f>
        <v>0.34090361445783129</v>
      </c>
      <c r="N106" s="2895">
        <f>0.5659/N101</f>
        <v>0.34090361445783129</v>
      </c>
    </row>
    <row r="107" spans="1:14">
      <c r="A107" s="3300"/>
      <c r="B107" s="2894">
        <v>6</v>
      </c>
      <c r="C107" s="2895">
        <f>0.7608/C101</f>
        <v>0.45831325301204823</v>
      </c>
      <c r="D107" s="2895">
        <f>0.7608/D101</f>
        <v>0.45831325301204823</v>
      </c>
      <c r="E107" s="2895">
        <f>0.6482/E101</f>
        <v>0.39048192771084339</v>
      </c>
      <c r="F107" s="2895">
        <f>0.6482/F101</f>
        <v>0.39048192771084339</v>
      </c>
      <c r="G107" s="2895">
        <f>0.6482/G101</f>
        <v>0.39048192771084339</v>
      </c>
      <c r="H107" s="2895">
        <f>0.6482/H101</f>
        <v>0.39048192771084339</v>
      </c>
      <c r="I107" s="2895">
        <f>0.6482/I101</f>
        <v>0.39048192771084339</v>
      </c>
      <c r="J107" s="2895">
        <f>0.4525/J101</f>
        <v>0.27259036144578314</v>
      </c>
      <c r="K107" s="2895">
        <f>0.4525/K101</f>
        <v>0.27259036144578314</v>
      </c>
      <c r="L107" s="2895">
        <f>0.4525/L101</f>
        <v>0.27259036144578314</v>
      </c>
      <c r="M107" s="2895">
        <f>0.4525/M101</f>
        <v>0.27259036144578314</v>
      </c>
      <c r="N107" s="2895">
        <f>0.4525/N101</f>
        <v>0.27259036144578314</v>
      </c>
    </row>
    <row r="108" spans="1:14">
      <c r="A108" s="3300"/>
      <c r="B108" s="3155"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1"/>
      <c r="B109" s="3156"/>
      <c r="C109" s="2897">
        <f>(-0.163*(C108^2)-0.59*C108+7617)*(10^(-4))/C101</f>
        <v>0.45885542168674703</v>
      </c>
      <c r="D109" s="2897">
        <f>(-0.163*(D108^2)-0.59*D108+7617)*(10^(-4))/D101</f>
        <v>0.45885542168674703</v>
      </c>
      <c r="E109" s="2897">
        <f>(-0.161*(E108^2)-7.509*E108+6533)*(10^(-4))/E101</f>
        <v>0.39355421686746989</v>
      </c>
      <c r="F109" s="2897">
        <f>(-0.161*(F108^2)-7.509*F108+6533)*(10^(-4))/F101</f>
        <v>0.39355421686746989</v>
      </c>
      <c r="G109" s="2897">
        <f>(-0.161*(G108^2)-7.509*G108+6533)*(10^(-4))/G101</f>
        <v>0.39355421686746989</v>
      </c>
      <c r="H109" s="2897">
        <f>(-0.161*(H108^2)-7.509*H108+6533)*(10^(-4))/H101</f>
        <v>0.39355421686746989</v>
      </c>
      <c r="I109" s="2897">
        <f>(-0.161*(I108^2)-7.509*I108+6533)*(10^(-4))/I101</f>
        <v>0.39355421686746989</v>
      </c>
      <c r="J109" s="2897">
        <f>(-0.214*(J108^2)-21.991*J108+4665)*(10^(-4))/J101</f>
        <v>0.28102409638554221</v>
      </c>
      <c r="K109" s="2897">
        <f>(-0.214*(K108^2)-21.991*K108+4665)*(10^(-4))/K101</f>
        <v>0.28102409638554221</v>
      </c>
      <c r="L109" s="2897">
        <f>(-0.214*(L108^2)-21.991*L108+4665)*(10^(-4))/L101</f>
        <v>0.28102409638554221</v>
      </c>
      <c r="M109" s="2897">
        <f>(-0.214*(M108^2)-21.991*M108+4665)*(10^(-4))/M101</f>
        <v>0.28102409638554221</v>
      </c>
      <c r="N109" s="2897">
        <f>(-0.214*(N108^2)-21.991*N108+4665)*(10^(-4))/N101</f>
        <v>0.28102409638554221</v>
      </c>
    </row>
    <row r="110" spans="1:14">
      <c r="A110" s="3297" t="s">
        <v>2929</v>
      </c>
      <c r="B110" s="3297"/>
      <c r="C110" s="3297"/>
      <c r="D110" s="3297"/>
      <c r="E110" s="3297"/>
      <c r="F110" s="3297"/>
      <c r="G110" s="3297"/>
      <c r="H110" s="3297"/>
      <c r="I110" s="3297"/>
      <c r="J110" s="3297"/>
      <c r="K110" s="2900"/>
      <c r="L110" s="2900"/>
      <c r="M110" s="2900"/>
      <c r="N110" s="2900"/>
    </row>
    <row r="112" spans="1:14" ht="13.5" thickBot="1"/>
    <row r="113" spans="1:13" ht="25.5" thickBot="1">
      <c r="A113" s="900" t="s">
        <v>2930</v>
      </c>
      <c r="B113" s="1287">
        <f>G3</f>
        <v>1.66</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0.91790000000000005</v>
      </c>
      <c r="C115" s="907">
        <f>B115</f>
        <v>0.91790000000000005</v>
      </c>
      <c r="D115" s="907">
        <f>ROUND(0.8331-0.0109*B113,4)</f>
        <v>0.81499999999999995</v>
      </c>
      <c r="E115" s="907">
        <f>D115</f>
        <v>0.81499999999999995</v>
      </c>
      <c r="F115" s="907">
        <f>E115</f>
        <v>0.81499999999999995</v>
      </c>
      <c r="G115" s="907">
        <f>F115</f>
        <v>0.81499999999999995</v>
      </c>
      <c r="H115" s="907">
        <f>G115</f>
        <v>0.81499999999999995</v>
      </c>
      <c r="I115" s="907">
        <f>ROUND(0.689-0.0155*B113,4)</f>
        <v>0.6633</v>
      </c>
      <c r="J115" s="907">
        <f t="shared" ref="J115:M118" si="33">I115</f>
        <v>0.6633</v>
      </c>
      <c r="K115" s="907">
        <f t="shared" si="33"/>
        <v>0.6633</v>
      </c>
      <c r="L115" s="907">
        <f t="shared" si="33"/>
        <v>0.6633</v>
      </c>
      <c r="M115" s="908">
        <f t="shared" si="33"/>
        <v>0.6633</v>
      </c>
    </row>
    <row r="116" spans="1:13">
      <c r="A116" s="906" t="s">
        <v>2827</v>
      </c>
      <c r="B116" s="907">
        <f>ROUND(0.949-0.012*B113,4)</f>
        <v>0.92910000000000004</v>
      </c>
      <c r="C116" s="907">
        <f>B116</f>
        <v>0.92910000000000004</v>
      </c>
      <c r="D116" s="907">
        <f>ROUND(0.8567-0.013*B113,4)</f>
        <v>0.83509999999999995</v>
      </c>
      <c r="E116" s="907">
        <f t="shared" ref="E116:H117" si="34">D116</f>
        <v>0.83509999999999995</v>
      </c>
      <c r="F116" s="907">
        <f t="shared" si="34"/>
        <v>0.83509999999999995</v>
      </c>
      <c r="G116" s="907">
        <f t="shared" si="34"/>
        <v>0.83509999999999995</v>
      </c>
      <c r="H116" s="907">
        <f t="shared" si="34"/>
        <v>0.83509999999999995</v>
      </c>
      <c r="I116" s="907">
        <f>ROUND(0.7694-0.014*B113,4)</f>
        <v>0.74619999999999997</v>
      </c>
      <c r="J116" s="907">
        <f t="shared" si="33"/>
        <v>0.74619999999999997</v>
      </c>
      <c r="K116" s="907">
        <f t="shared" si="33"/>
        <v>0.74619999999999997</v>
      </c>
      <c r="L116" s="907">
        <f t="shared" si="33"/>
        <v>0.74619999999999997</v>
      </c>
      <c r="M116" s="908">
        <f t="shared" si="33"/>
        <v>0.74619999999999997</v>
      </c>
    </row>
    <row r="117" spans="1:13">
      <c r="A117" s="906" t="s">
        <v>2828</v>
      </c>
      <c r="B117" s="907">
        <f>ROUND(0.8808-0.006*B113,4)</f>
        <v>0.87080000000000002</v>
      </c>
      <c r="C117" s="907">
        <f>B117</f>
        <v>0.87080000000000002</v>
      </c>
      <c r="D117" s="907">
        <f>ROUND(0.8748-0.008*B113,4)</f>
        <v>0.86150000000000004</v>
      </c>
      <c r="E117" s="907">
        <f t="shared" si="34"/>
        <v>0.86150000000000004</v>
      </c>
      <c r="F117" s="907">
        <f t="shared" si="34"/>
        <v>0.86150000000000004</v>
      </c>
      <c r="G117" s="907">
        <f t="shared" si="34"/>
        <v>0.86150000000000004</v>
      </c>
      <c r="H117" s="907">
        <f t="shared" si="34"/>
        <v>0.86150000000000004</v>
      </c>
      <c r="I117" s="907">
        <f>ROUND(0.7412-0.0095*B113,4)</f>
        <v>0.72540000000000004</v>
      </c>
      <c r="J117" s="907">
        <f t="shared" si="33"/>
        <v>0.72540000000000004</v>
      </c>
      <c r="K117" s="907">
        <f t="shared" si="33"/>
        <v>0.72540000000000004</v>
      </c>
      <c r="L117" s="907">
        <f t="shared" si="33"/>
        <v>0.72540000000000004</v>
      </c>
      <c r="M117" s="908">
        <f t="shared" si="33"/>
        <v>0.72540000000000004</v>
      </c>
    </row>
    <row r="118" spans="1:13" ht="13.5" thickBot="1">
      <c r="A118" s="714" t="s">
        <v>2829</v>
      </c>
      <c r="B118" s="909">
        <f>ROUND(0.7275-0.01*B113,4)</f>
        <v>0.71089999999999998</v>
      </c>
      <c r="C118" s="909">
        <f>B118</f>
        <v>0.71089999999999998</v>
      </c>
      <c r="D118" s="909">
        <f>ROUND(0.7043-0.012*B113,4)</f>
        <v>0.68440000000000001</v>
      </c>
      <c r="E118" s="909">
        <f>D118</f>
        <v>0.68440000000000001</v>
      </c>
      <c r="F118" s="909">
        <f>E118</f>
        <v>0.68440000000000001</v>
      </c>
      <c r="G118" s="909">
        <f>ROUND(0.6299-0.0122*B113,4)</f>
        <v>0.60960000000000003</v>
      </c>
      <c r="H118" s="909">
        <f>G118</f>
        <v>0.60960000000000003</v>
      </c>
      <c r="I118" s="909">
        <f>ROUND(0.5667-0.0136*B113,4)</f>
        <v>0.54410000000000003</v>
      </c>
      <c r="J118" s="909">
        <f t="shared" si="33"/>
        <v>0.54410000000000003</v>
      </c>
      <c r="K118" s="909">
        <f t="shared" si="33"/>
        <v>0.54410000000000003</v>
      </c>
      <c r="L118" s="909">
        <f t="shared" si="33"/>
        <v>0.54410000000000003</v>
      </c>
      <c r="M118" s="910">
        <f t="shared" si="33"/>
        <v>0.54410000000000003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5" t="s">
        <v>183</v>
      </c>
      <c r="B18" s="879" t="s">
        <v>560</v>
      </c>
      <c r="C18" s="880" t="s">
        <v>561</v>
      </c>
      <c r="D18" s="881"/>
      <c r="E18" s="879">
        <v>1</v>
      </c>
      <c r="F18" s="882" t="s">
        <v>562</v>
      </c>
      <c r="G18" s="883"/>
      <c r="H18" s="875"/>
      <c r="I18" s="875"/>
    </row>
    <row r="19" spans="1:9" s="884" customFormat="1" ht="19.5" customHeight="1">
      <c r="A19" s="3305"/>
      <c r="B19" s="3305" t="s">
        <v>563</v>
      </c>
      <c r="C19" s="880" t="s">
        <v>564</v>
      </c>
      <c r="D19" s="881"/>
      <c r="E19" s="879">
        <v>0.9</v>
      </c>
      <c r="F19" s="882" t="s">
        <v>565</v>
      </c>
      <c r="G19" s="883"/>
      <c r="H19" s="875"/>
      <c r="I19" s="875"/>
    </row>
    <row r="20" spans="1:9" s="884" customFormat="1" ht="19.5" customHeight="1">
      <c r="A20" s="3305"/>
      <c r="B20" s="3305"/>
      <c r="C20" s="880" t="s">
        <v>566</v>
      </c>
      <c r="D20" s="881"/>
      <c r="E20" s="879">
        <v>1.1000000000000001</v>
      </c>
      <c r="F20" s="882" t="s">
        <v>567</v>
      </c>
      <c r="G20" s="883"/>
      <c r="H20" s="875"/>
      <c r="I20" s="875"/>
    </row>
    <row r="21" spans="1:9" s="884" customFormat="1" ht="19.5" customHeight="1">
      <c r="A21" s="3305"/>
      <c r="B21" s="3305"/>
      <c r="C21" s="880" t="s">
        <v>568</v>
      </c>
      <c r="D21" s="881"/>
      <c r="E21" s="879">
        <v>0.8</v>
      </c>
      <c r="F21" s="882" t="s">
        <v>569</v>
      </c>
      <c r="G21" s="883"/>
      <c r="H21" s="875"/>
      <c r="I21" s="875"/>
    </row>
    <row r="22" spans="1:9" s="884" customFormat="1" ht="19.5" customHeight="1">
      <c r="A22" s="3305"/>
      <c r="B22" s="3305"/>
      <c r="C22" s="880" t="s">
        <v>570</v>
      </c>
      <c r="D22" s="881"/>
      <c r="E22" s="879">
        <v>0.5</v>
      </c>
      <c r="F22" s="882"/>
      <c r="G22" s="883"/>
      <c r="H22" s="875"/>
      <c r="I22" s="875"/>
    </row>
    <row r="23" spans="1:9" s="884" customFormat="1" ht="19.5" customHeight="1">
      <c r="A23" s="3305" t="s">
        <v>184</v>
      </c>
      <c r="B23" s="879" t="s">
        <v>560</v>
      </c>
      <c r="C23" s="880" t="s">
        <v>571</v>
      </c>
      <c r="D23" s="881"/>
      <c r="E23" s="879">
        <v>1</v>
      </c>
      <c r="F23" s="882" t="s">
        <v>572</v>
      </c>
      <c r="G23" s="883"/>
      <c r="H23" s="875"/>
      <c r="I23" s="875"/>
    </row>
    <row r="24" spans="1:9" s="884" customFormat="1" ht="19.5" customHeight="1">
      <c r="A24" s="3305"/>
      <c r="B24" s="3305" t="s">
        <v>563</v>
      </c>
      <c r="C24" s="880" t="s">
        <v>573</v>
      </c>
      <c r="D24" s="881"/>
      <c r="E24" s="879">
        <v>0.5</v>
      </c>
      <c r="F24" s="882"/>
      <c r="G24" s="883"/>
      <c r="H24" s="875"/>
      <c r="I24" s="875"/>
    </row>
    <row r="25" spans="1:9" s="884" customFormat="1" ht="19.5" customHeight="1">
      <c r="A25" s="3305"/>
      <c r="B25" s="3305"/>
      <c r="C25" s="880" t="s">
        <v>574</v>
      </c>
      <c r="D25" s="881"/>
      <c r="E25" s="879">
        <v>1.1000000000000001</v>
      </c>
      <c r="F25" s="882"/>
      <c r="G25" s="883"/>
      <c r="H25" s="875"/>
      <c r="I25" s="875"/>
    </row>
    <row r="26" spans="1:9" s="884" customFormat="1" ht="19.5" customHeight="1">
      <c r="A26" s="3305"/>
      <c r="B26" s="3305"/>
      <c r="C26" s="880" t="s">
        <v>575</v>
      </c>
      <c r="D26" s="881"/>
      <c r="E26" s="879">
        <v>1.1000000000000001</v>
      </c>
      <c r="F26" s="882"/>
      <c r="G26" s="883"/>
      <c r="H26" s="875"/>
      <c r="I26" s="875"/>
    </row>
    <row r="27" spans="1:9" s="884" customFormat="1" ht="19.5" customHeight="1">
      <c r="A27" s="3305"/>
      <c r="B27" s="3305"/>
      <c r="C27" s="880" t="s">
        <v>576</v>
      </c>
      <c r="D27" s="881"/>
      <c r="E27" s="879">
        <v>0.9</v>
      </c>
      <c r="F27" s="882" t="s">
        <v>577</v>
      </c>
      <c r="G27" s="883"/>
      <c r="H27" s="875"/>
      <c r="I27" s="875"/>
    </row>
    <row r="28" spans="1:9" s="884" customFormat="1" ht="19.5" customHeight="1">
      <c r="A28" s="3305"/>
      <c r="B28" s="3305"/>
      <c r="C28" s="880" t="s">
        <v>578</v>
      </c>
      <c r="D28" s="881"/>
      <c r="E28" s="879">
        <v>0.9</v>
      </c>
      <c r="F28" s="882" t="s">
        <v>579</v>
      </c>
      <c r="G28" s="883"/>
      <c r="H28" s="875"/>
      <c r="I28" s="875"/>
    </row>
    <row r="29" spans="1:9" s="884" customFormat="1" ht="19.5" customHeight="1">
      <c r="A29" s="3305"/>
      <c r="B29" s="3305"/>
      <c r="C29" s="880" t="s">
        <v>580</v>
      </c>
      <c r="D29" s="881"/>
      <c r="E29" s="879">
        <v>0.9</v>
      </c>
      <c r="F29" s="882" t="s">
        <v>581</v>
      </c>
      <c r="G29" s="883"/>
      <c r="H29" s="875"/>
      <c r="I29" s="875"/>
    </row>
    <row r="30" spans="1:9" s="884" customFormat="1" ht="19.5" customHeight="1">
      <c r="A30" s="3305"/>
      <c r="B30" s="3305"/>
      <c r="C30" s="880" t="s">
        <v>582</v>
      </c>
      <c r="D30" s="881"/>
      <c r="E30" s="879">
        <v>0.9</v>
      </c>
      <c r="F30" s="882" t="s">
        <v>583</v>
      </c>
      <c r="G30" s="883"/>
      <c r="H30" s="875"/>
      <c r="I30" s="875"/>
    </row>
    <row r="31" spans="1:9" s="884" customFormat="1" ht="19.5" customHeight="1">
      <c r="A31" s="3305"/>
      <c r="B31" s="3305"/>
      <c r="C31" s="880" t="s">
        <v>584</v>
      </c>
      <c r="D31" s="881"/>
      <c r="E31" s="879">
        <v>0.8</v>
      </c>
      <c r="F31" s="882" t="s">
        <v>585</v>
      </c>
      <c r="G31" s="883"/>
      <c r="H31" s="875"/>
      <c r="I31" s="875"/>
    </row>
    <row r="32" spans="1:9" s="884" customFormat="1" ht="19.5" customHeight="1">
      <c r="A32" s="3305"/>
      <c r="B32" s="3305"/>
      <c r="C32" s="880" t="s">
        <v>586</v>
      </c>
      <c r="D32" s="881"/>
      <c r="E32" s="879">
        <v>0.8</v>
      </c>
      <c r="F32" s="882" t="s">
        <v>587</v>
      </c>
      <c r="G32" s="883"/>
      <c r="H32" s="875"/>
      <c r="I32" s="875"/>
    </row>
    <row r="33" spans="1:9" s="884" customFormat="1" ht="19.5" customHeight="1">
      <c r="A33" s="3305" t="s">
        <v>185</v>
      </c>
      <c r="B33" s="879" t="s">
        <v>560</v>
      </c>
      <c r="C33" s="880" t="s">
        <v>588</v>
      </c>
      <c r="D33" s="881"/>
      <c r="E33" s="879">
        <v>1</v>
      </c>
      <c r="F33" s="882" t="s">
        <v>589</v>
      </c>
      <c r="G33" s="883"/>
      <c r="H33" s="875"/>
      <c r="I33" s="875"/>
    </row>
    <row r="34" spans="1:9" s="884" customFormat="1" ht="19.5" customHeight="1">
      <c r="A34" s="3305"/>
      <c r="B34" s="879" t="s">
        <v>563</v>
      </c>
      <c r="C34" s="880" t="s">
        <v>590</v>
      </c>
      <c r="D34" s="881"/>
      <c r="E34" s="879">
        <v>1.5</v>
      </c>
      <c r="F34" s="882" t="s">
        <v>591</v>
      </c>
      <c r="G34" s="883"/>
      <c r="H34" s="875"/>
      <c r="I34" s="875"/>
    </row>
    <row r="35" spans="1:9" s="884" customFormat="1" ht="19.5" customHeight="1">
      <c r="A35" s="3305" t="s">
        <v>186</v>
      </c>
      <c r="B35" s="879" t="s">
        <v>560</v>
      </c>
      <c r="C35" s="880" t="s">
        <v>592</v>
      </c>
      <c r="D35" s="881"/>
      <c r="E35" s="879">
        <v>1</v>
      </c>
      <c r="F35" s="882" t="s">
        <v>593</v>
      </c>
      <c r="G35" s="883"/>
      <c r="H35" s="875"/>
      <c r="I35" s="875"/>
    </row>
    <row r="36" spans="1:9" s="884" customFormat="1" ht="19.5" customHeight="1">
      <c r="A36" s="3305"/>
      <c r="B36" s="3305" t="s">
        <v>563</v>
      </c>
      <c r="C36" s="880" t="s">
        <v>594</v>
      </c>
      <c r="D36" s="881"/>
      <c r="E36" s="879">
        <v>1</v>
      </c>
      <c r="F36" s="882" t="s">
        <v>595</v>
      </c>
      <c r="G36" s="883"/>
      <c r="H36" s="875"/>
      <c r="I36" s="875"/>
    </row>
    <row r="37" spans="1:9" s="884" customFormat="1" ht="19.5" customHeight="1">
      <c r="A37" s="3305"/>
      <c r="B37" s="3305"/>
      <c r="C37" s="880" t="s">
        <v>596</v>
      </c>
      <c r="D37" s="881"/>
      <c r="E37" s="879">
        <v>1.5</v>
      </c>
      <c r="F37" s="882" t="s">
        <v>597</v>
      </c>
      <c r="G37" s="883"/>
      <c r="H37" s="875"/>
      <c r="I37" s="875"/>
    </row>
    <row r="38" spans="1:9" s="884" customFormat="1" ht="19.5" customHeight="1">
      <c r="A38" s="3305"/>
      <c r="B38" s="3305"/>
      <c r="C38" s="880" t="s">
        <v>598</v>
      </c>
      <c r="D38" s="881"/>
      <c r="E38" s="879">
        <v>1</v>
      </c>
      <c r="F38" s="882" t="s">
        <v>599</v>
      </c>
      <c r="G38" s="883"/>
      <c r="H38" s="875"/>
      <c r="I38" s="875"/>
    </row>
    <row r="39" spans="1:9" s="884" customFormat="1" ht="19.5" customHeight="1">
      <c r="A39" s="3305"/>
      <c r="B39" s="330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5" t="s">
        <v>614</v>
      </c>
      <c r="C61" s="815" t="s">
        <v>615</v>
      </c>
      <c r="D61" s="815" t="s">
        <v>616</v>
      </c>
      <c r="E61" s="892">
        <v>0.5</v>
      </c>
      <c r="F61" s="879">
        <v>80</v>
      </c>
    </row>
    <row r="62" spans="1:8" s="875" customFormat="1" ht="24">
      <c r="A62" s="879">
        <v>2</v>
      </c>
      <c r="B62" s="3305"/>
      <c r="C62" s="815" t="s">
        <v>617</v>
      </c>
      <c r="D62" s="815" t="s">
        <v>618</v>
      </c>
      <c r="E62" s="892">
        <v>0.5</v>
      </c>
      <c r="F62" s="879">
        <v>80</v>
      </c>
    </row>
    <row r="63" spans="1:8" s="875" customFormat="1" ht="36">
      <c r="A63" s="879">
        <v>3</v>
      </c>
      <c r="B63" s="3305"/>
      <c r="C63" s="815" t="s">
        <v>619</v>
      </c>
      <c r="D63" s="815" t="s">
        <v>620</v>
      </c>
      <c r="E63" s="892">
        <v>0.5</v>
      </c>
      <c r="F63" s="879">
        <v>80</v>
      </c>
    </row>
    <row r="64" spans="1:8" s="875" customFormat="1" ht="36">
      <c r="A64" s="879">
        <v>4</v>
      </c>
      <c r="B64" s="3305"/>
      <c r="C64" s="815" t="s">
        <v>621</v>
      </c>
      <c r="D64" s="815" t="s">
        <v>622</v>
      </c>
      <c r="E64" s="892">
        <v>0.4</v>
      </c>
      <c r="F64" s="879">
        <v>60</v>
      </c>
    </row>
    <row r="65" spans="1:6" s="875" customFormat="1" ht="36">
      <c r="A65" s="879">
        <v>5</v>
      </c>
      <c r="B65" s="3305"/>
      <c r="C65" s="815" t="s">
        <v>623</v>
      </c>
      <c r="D65" s="815" t="s">
        <v>624</v>
      </c>
      <c r="E65" s="892">
        <v>0.2</v>
      </c>
      <c r="F65" s="879">
        <v>30</v>
      </c>
    </row>
    <row r="66" spans="1:6" s="875" customFormat="1" ht="36">
      <c r="A66" s="879">
        <v>6</v>
      </c>
      <c r="B66" s="3305"/>
      <c r="C66" s="815" t="s">
        <v>625</v>
      </c>
      <c r="D66" s="815" t="s">
        <v>626</v>
      </c>
      <c r="E66" s="892">
        <v>0.3</v>
      </c>
      <c r="F66" s="879">
        <v>50</v>
      </c>
    </row>
    <row r="67" spans="1:6" s="875" customFormat="1" ht="36">
      <c r="A67" s="879">
        <v>7</v>
      </c>
      <c r="B67" s="3305"/>
      <c r="C67" s="815" t="s">
        <v>627</v>
      </c>
      <c r="D67" s="815" t="s">
        <v>628</v>
      </c>
      <c r="E67" s="892">
        <v>0.2</v>
      </c>
      <c r="F67" s="879">
        <v>30</v>
      </c>
    </row>
    <row r="68" spans="1:6" s="875" customFormat="1" ht="36">
      <c r="A68" s="879">
        <v>8</v>
      </c>
      <c r="B68" s="3305"/>
      <c r="C68" s="815" t="s">
        <v>629</v>
      </c>
      <c r="D68" s="815" t="s">
        <v>630</v>
      </c>
      <c r="E68" s="892">
        <v>0.2</v>
      </c>
      <c r="F68" s="879">
        <v>30</v>
      </c>
    </row>
    <row r="69" spans="1:6" s="875" customFormat="1" ht="36">
      <c r="A69" s="879">
        <v>9</v>
      </c>
      <c r="B69" s="3305"/>
      <c r="C69" s="815" t="s">
        <v>631</v>
      </c>
      <c r="D69" s="815" t="s">
        <v>632</v>
      </c>
      <c r="E69" s="892">
        <v>0.2</v>
      </c>
      <c r="F69" s="879">
        <v>30</v>
      </c>
    </row>
    <row r="70" spans="1:6" s="875" customFormat="1" ht="48">
      <c r="A70" s="879">
        <v>10</v>
      </c>
      <c r="B70" s="3305"/>
      <c r="C70" s="815" t="s">
        <v>633</v>
      </c>
      <c r="D70" s="815" t="s">
        <v>634</v>
      </c>
      <c r="E70" s="892">
        <v>0.2</v>
      </c>
      <c r="F70" s="879">
        <v>30</v>
      </c>
    </row>
    <row r="71" spans="1:6" s="875" customFormat="1" ht="48">
      <c r="A71" s="879">
        <v>11</v>
      </c>
      <c r="B71" s="3305"/>
      <c r="C71" s="815" t="s">
        <v>635</v>
      </c>
      <c r="D71" s="815" t="s">
        <v>636</v>
      </c>
      <c r="E71" s="892">
        <v>0.2</v>
      </c>
      <c r="F71" s="879">
        <v>30</v>
      </c>
    </row>
    <row r="72" spans="1:6" s="875" customFormat="1" ht="36">
      <c r="A72" s="879">
        <v>12</v>
      </c>
      <c r="B72" s="3305"/>
      <c r="C72" s="815" t="s">
        <v>637</v>
      </c>
      <c r="D72" s="815" t="s">
        <v>638</v>
      </c>
      <c r="E72" s="892">
        <v>0.5</v>
      </c>
      <c r="F72" s="879">
        <v>80</v>
      </c>
    </row>
    <row r="73" spans="1:6" s="875" customFormat="1" ht="24">
      <c r="A73" s="879">
        <v>13</v>
      </c>
      <c r="B73" s="3305"/>
      <c r="C73" s="815" t="s">
        <v>639</v>
      </c>
      <c r="D73" s="815" t="s">
        <v>640</v>
      </c>
      <c r="E73" s="892">
        <v>0.4</v>
      </c>
      <c r="F73" s="879">
        <v>60</v>
      </c>
    </row>
    <row r="74" spans="1:6" s="875" customFormat="1" ht="24">
      <c r="A74" s="879">
        <v>14</v>
      </c>
      <c r="B74" s="3305"/>
      <c r="C74" s="815" t="s">
        <v>641</v>
      </c>
      <c r="D74" s="815" t="s">
        <v>642</v>
      </c>
      <c r="E74" s="892">
        <v>0.2</v>
      </c>
      <c r="F74" s="879">
        <v>30</v>
      </c>
    </row>
    <row r="75" spans="1:6" s="875" customFormat="1" ht="24">
      <c r="A75" s="879">
        <v>15</v>
      </c>
      <c r="B75" s="3305"/>
      <c r="C75" s="815" t="s">
        <v>643</v>
      </c>
      <c r="D75" s="815" t="s">
        <v>644</v>
      </c>
      <c r="E75" s="892">
        <v>0.2</v>
      </c>
      <c r="F75" s="879">
        <v>30</v>
      </c>
    </row>
    <row r="76" spans="1:6" s="875" customFormat="1" ht="24">
      <c r="A76" s="879">
        <v>16</v>
      </c>
      <c r="B76" s="3305" t="s">
        <v>645</v>
      </c>
      <c r="C76" s="815" t="s">
        <v>646</v>
      </c>
      <c r="D76" s="815" t="s">
        <v>647</v>
      </c>
      <c r="E76" s="892">
        <v>0.5</v>
      </c>
      <c r="F76" s="879">
        <v>80</v>
      </c>
    </row>
    <row r="77" spans="1:6" s="875" customFormat="1" ht="24">
      <c r="A77" s="879">
        <v>17</v>
      </c>
      <c r="B77" s="3305"/>
      <c r="C77" s="815" t="s">
        <v>648</v>
      </c>
      <c r="D77" s="815" t="s">
        <v>649</v>
      </c>
      <c r="E77" s="892">
        <v>0.5</v>
      </c>
      <c r="F77" s="879">
        <v>80</v>
      </c>
    </row>
    <row r="78" spans="1:6" s="875" customFormat="1" ht="24">
      <c r="A78" s="879">
        <v>18</v>
      </c>
      <c r="B78" s="3305"/>
      <c r="C78" s="815" t="s">
        <v>650</v>
      </c>
      <c r="D78" s="815" t="s">
        <v>651</v>
      </c>
      <c r="E78" s="892">
        <v>0.2</v>
      </c>
      <c r="F78" s="879">
        <v>30</v>
      </c>
    </row>
    <row r="79" spans="1:6" s="875" customFormat="1" ht="24">
      <c r="A79" s="879">
        <v>19</v>
      </c>
      <c r="B79" s="3305"/>
      <c r="C79" s="815" t="s">
        <v>652</v>
      </c>
      <c r="D79" s="815" t="s">
        <v>653</v>
      </c>
      <c r="E79" s="892">
        <v>0.5</v>
      </c>
      <c r="F79" s="879">
        <v>80</v>
      </c>
    </row>
    <row r="80" spans="1:6" s="875" customFormat="1" ht="36">
      <c r="A80" s="879">
        <v>20</v>
      </c>
      <c r="B80" s="3305"/>
      <c r="C80" s="815" t="s">
        <v>654</v>
      </c>
      <c r="D80" s="815" t="s">
        <v>655</v>
      </c>
      <c r="E80" s="892">
        <v>0.2</v>
      </c>
      <c r="F80" s="879">
        <v>30</v>
      </c>
    </row>
    <row r="81" spans="1:6" s="875" customFormat="1" ht="36">
      <c r="A81" s="879">
        <v>21</v>
      </c>
      <c r="B81" s="3305"/>
      <c r="C81" s="815" t="s">
        <v>656</v>
      </c>
      <c r="D81" s="815" t="s">
        <v>657</v>
      </c>
      <c r="E81" s="892">
        <v>0.2</v>
      </c>
      <c r="F81" s="879">
        <v>30</v>
      </c>
    </row>
    <row r="82" spans="1:6" s="875" customFormat="1" ht="48">
      <c r="A82" s="879">
        <v>22</v>
      </c>
      <c r="B82" s="3305"/>
      <c r="C82" s="815" t="s">
        <v>658</v>
      </c>
      <c r="D82" s="815" t="s">
        <v>659</v>
      </c>
      <c r="E82" s="892">
        <v>0.2</v>
      </c>
      <c r="F82" s="879">
        <v>30</v>
      </c>
    </row>
    <row r="83" spans="1:6" s="875" customFormat="1" ht="48">
      <c r="A83" s="879">
        <v>23</v>
      </c>
      <c r="B83" s="3305"/>
      <c r="C83" s="815" t="s">
        <v>660</v>
      </c>
      <c r="D83" s="815" t="s">
        <v>661</v>
      </c>
      <c r="E83" s="892">
        <v>0.2</v>
      </c>
      <c r="F83" s="879">
        <v>30</v>
      </c>
    </row>
    <row r="84" spans="1:6" s="875" customFormat="1" ht="36">
      <c r="A84" s="879">
        <v>24</v>
      </c>
      <c r="B84" s="3305"/>
      <c r="C84" s="815" t="s">
        <v>662</v>
      </c>
      <c r="D84" s="815" t="s">
        <v>663</v>
      </c>
      <c r="E84" s="892">
        <v>0.2</v>
      </c>
      <c r="F84" s="879">
        <v>30</v>
      </c>
    </row>
    <row r="85" spans="1:6" s="875" customFormat="1" ht="36">
      <c r="A85" s="879">
        <v>25</v>
      </c>
      <c r="B85" s="3305"/>
      <c r="C85" s="815" t="s">
        <v>664</v>
      </c>
      <c r="D85" s="815" t="s">
        <v>665</v>
      </c>
      <c r="E85" s="892">
        <v>0.5</v>
      </c>
      <c r="F85" s="879">
        <v>80</v>
      </c>
    </row>
    <row r="86" spans="1:6" s="875" customFormat="1" ht="36">
      <c r="A86" s="879">
        <v>26</v>
      </c>
      <c r="B86" s="3305"/>
      <c r="C86" s="815" t="s">
        <v>666</v>
      </c>
      <c r="D86" s="815" t="s">
        <v>667</v>
      </c>
      <c r="E86" s="892">
        <v>0.2</v>
      </c>
      <c r="F86" s="879">
        <v>30</v>
      </c>
    </row>
    <row r="87" spans="1:6" s="875" customFormat="1" ht="36">
      <c r="A87" s="879">
        <v>27</v>
      </c>
      <c r="B87" s="3305"/>
      <c r="C87" s="815" t="s">
        <v>668</v>
      </c>
      <c r="D87" s="815" t="s">
        <v>669</v>
      </c>
      <c r="E87" s="892">
        <v>0.2</v>
      </c>
      <c r="F87" s="879">
        <v>30</v>
      </c>
    </row>
    <row r="88" spans="1:6" s="875" customFormat="1" ht="36">
      <c r="A88" s="879">
        <v>28</v>
      </c>
      <c r="B88" s="3305"/>
      <c r="C88" s="815" t="s">
        <v>670</v>
      </c>
      <c r="D88" s="815" t="s">
        <v>671</v>
      </c>
      <c r="E88" s="892">
        <v>0.2</v>
      </c>
      <c r="F88" s="879">
        <v>30</v>
      </c>
    </row>
    <row r="89" spans="1:6" s="875" customFormat="1" ht="24">
      <c r="A89" s="879">
        <v>29</v>
      </c>
      <c r="B89" s="3305"/>
      <c r="C89" s="815" t="s">
        <v>672</v>
      </c>
      <c r="D89" s="815" t="s">
        <v>673</v>
      </c>
      <c r="E89" s="892">
        <v>0.2</v>
      </c>
      <c r="F89" s="879">
        <v>30</v>
      </c>
    </row>
    <row r="90" spans="1:6" s="875" customFormat="1" ht="24">
      <c r="A90" s="879">
        <v>30</v>
      </c>
      <c r="B90" s="3305"/>
      <c r="C90" s="815" t="s">
        <v>674</v>
      </c>
      <c r="D90" s="815" t="s">
        <v>675</v>
      </c>
      <c r="E90" s="892">
        <v>0.2</v>
      </c>
      <c r="F90" s="879">
        <v>30</v>
      </c>
    </row>
    <row r="91" spans="1:6" s="875" customFormat="1" ht="36">
      <c r="A91" s="879">
        <v>31</v>
      </c>
      <c r="B91" s="3305"/>
      <c r="C91" s="815" t="s">
        <v>676</v>
      </c>
      <c r="D91" s="815" t="s">
        <v>677</v>
      </c>
      <c r="E91" s="892">
        <v>0.2</v>
      </c>
      <c r="F91" s="879">
        <v>30</v>
      </c>
    </row>
    <row r="92" spans="1:6" s="875" customFormat="1" ht="24">
      <c r="A92" s="879">
        <v>32</v>
      </c>
      <c r="B92" s="3305" t="s">
        <v>678</v>
      </c>
      <c r="C92" s="879" t="s">
        <v>679</v>
      </c>
      <c r="D92" s="815" t="s">
        <v>680</v>
      </c>
      <c r="E92" s="892">
        <v>0.2</v>
      </c>
      <c r="F92" s="879">
        <v>30</v>
      </c>
    </row>
    <row r="93" spans="1:6" s="875" customFormat="1" ht="36">
      <c r="A93" s="879">
        <v>33</v>
      </c>
      <c r="B93" s="3305"/>
      <c r="C93" s="879" t="s">
        <v>681</v>
      </c>
      <c r="D93" s="815" t="s">
        <v>682</v>
      </c>
      <c r="E93" s="892">
        <v>0.2</v>
      </c>
      <c r="F93" s="879">
        <v>30</v>
      </c>
    </row>
    <row r="94" spans="1:6" s="875" customFormat="1" ht="48">
      <c r="A94" s="879">
        <v>34</v>
      </c>
      <c r="B94" s="3305"/>
      <c r="C94" s="879" t="s">
        <v>683</v>
      </c>
      <c r="D94" s="815" t="s">
        <v>684</v>
      </c>
      <c r="E94" s="892">
        <v>0.2</v>
      </c>
      <c r="F94" s="879">
        <v>30</v>
      </c>
    </row>
    <row r="95" spans="1:6" s="875" customFormat="1" ht="36">
      <c r="A95" s="879">
        <v>35</v>
      </c>
      <c r="B95" s="3305"/>
      <c r="C95" s="879" t="s">
        <v>685</v>
      </c>
      <c r="D95" s="815" t="s">
        <v>686</v>
      </c>
      <c r="E95" s="892">
        <v>0.2</v>
      </c>
      <c r="F95" s="879">
        <v>30</v>
      </c>
    </row>
    <row r="96" spans="1:6" s="875" customFormat="1" ht="48">
      <c r="A96" s="879">
        <v>36</v>
      </c>
      <c r="B96" s="3305"/>
      <c r="C96" s="815" t="s">
        <v>687</v>
      </c>
      <c r="D96" s="815" t="s">
        <v>688</v>
      </c>
      <c r="E96" s="892">
        <v>0.2</v>
      </c>
      <c r="F96" s="879">
        <v>30</v>
      </c>
    </row>
    <row r="97" spans="1:6" s="875" customFormat="1" ht="36">
      <c r="A97" s="879">
        <v>37</v>
      </c>
      <c r="B97" s="3305"/>
      <c r="C97" s="879" t="s">
        <v>689</v>
      </c>
      <c r="D97" s="815" t="s">
        <v>690</v>
      </c>
      <c r="E97" s="892">
        <v>0.2</v>
      </c>
      <c r="F97" s="879">
        <v>30</v>
      </c>
    </row>
    <row r="98" spans="1:6" s="875" customFormat="1" ht="36">
      <c r="A98" s="879">
        <v>38</v>
      </c>
      <c r="B98" s="3305"/>
      <c r="C98" s="879" t="s">
        <v>691</v>
      </c>
      <c r="D98" s="815" t="s">
        <v>692</v>
      </c>
      <c r="E98" s="892">
        <v>0.2</v>
      </c>
      <c r="F98" s="879">
        <v>30</v>
      </c>
    </row>
    <row r="99" spans="1:6" s="875" customFormat="1" ht="36">
      <c r="A99" s="879">
        <v>39</v>
      </c>
      <c r="B99" s="3305" t="s">
        <v>693</v>
      </c>
      <c r="C99" s="879" t="s">
        <v>694</v>
      </c>
      <c r="D99" s="815" t="s">
        <v>695</v>
      </c>
      <c r="E99" s="892">
        <v>0.3</v>
      </c>
      <c r="F99" s="879">
        <v>50</v>
      </c>
    </row>
    <row r="100" spans="1:6" s="875" customFormat="1" ht="24">
      <c r="A100" s="879">
        <v>40</v>
      </c>
      <c r="B100" s="3305"/>
      <c r="C100" s="879" t="s">
        <v>696</v>
      </c>
      <c r="D100" s="815" t="s">
        <v>697</v>
      </c>
      <c r="E100" s="892">
        <v>0.2</v>
      </c>
      <c r="F100" s="879">
        <v>30</v>
      </c>
    </row>
    <row r="101" spans="1:6" s="875" customFormat="1" ht="36">
      <c r="A101" s="879">
        <v>41</v>
      </c>
      <c r="B101" s="330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5" t="s">
        <v>708</v>
      </c>
      <c r="C105" s="879" t="s">
        <v>709</v>
      </c>
      <c r="D105" s="815" t="s">
        <v>710</v>
      </c>
      <c r="E105" s="892">
        <v>0.2</v>
      </c>
      <c r="F105" s="879">
        <v>30</v>
      </c>
    </row>
    <row r="106" spans="1:6" s="875" customFormat="1" ht="36">
      <c r="A106" s="879">
        <v>46</v>
      </c>
      <c r="B106" s="3305"/>
      <c r="C106" s="879" t="s">
        <v>711</v>
      </c>
      <c r="D106" s="815" t="s">
        <v>712</v>
      </c>
      <c r="E106" s="892">
        <v>0.2</v>
      </c>
      <c r="F106" s="879">
        <v>30</v>
      </c>
    </row>
    <row r="107" spans="1:6" s="875" customFormat="1" ht="36">
      <c r="A107" s="879">
        <v>47</v>
      </c>
      <c r="B107" s="3305" t="s">
        <v>713</v>
      </c>
      <c r="C107" s="879" t="s">
        <v>714</v>
      </c>
      <c r="D107" s="815" t="s">
        <v>715</v>
      </c>
      <c r="E107" s="892">
        <v>0.3</v>
      </c>
      <c r="F107" s="879">
        <v>50</v>
      </c>
    </row>
    <row r="108" spans="1:6" s="875" customFormat="1" ht="36">
      <c r="A108" s="879">
        <v>48</v>
      </c>
      <c r="B108" s="330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5" t="s">
        <v>724</v>
      </c>
      <c r="C111" s="879" t="s">
        <v>725</v>
      </c>
      <c r="D111" s="815" t="s">
        <v>726</v>
      </c>
      <c r="E111" s="892">
        <v>0.2</v>
      </c>
      <c r="F111" s="879">
        <v>30</v>
      </c>
    </row>
    <row r="112" spans="1:6" s="875" customFormat="1" ht="24">
      <c r="A112" s="879">
        <v>52</v>
      </c>
      <c r="B112" s="3305"/>
      <c r="C112" s="879" t="s">
        <v>727</v>
      </c>
      <c r="D112" s="815" t="s">
        <v>728</v>
      </c>
      <c r="E112" s="892">
        <v>0.2</v>
      </c>
      <c r="F112" s="879">
        <v>30</v>
      </c>
    </row>
    <row r="113" spans="1:6" s="875" customFormat="1" ht="24">
      <c r="A113" s="879">
        <v>53</v>
      </c>
      <c r="B113" s="330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5" t="s">
        <v>737</v>
      </c>
      <c r="C116" s="879" t="s">
        <v>738</v>
      </c>
      <c r="D116" s="815" t="s">
        <v>739</v>
      </c>
      <c r="E116" s="892">
        <v>0.2</v>
      </c>
      <c r="F116" s="879">
        <v>30</v>
      </c>
    </row>
    <row r="117" spans="1:6" ht="36">
      <c r="A117" s="879">
        <v>57</v>
      </c>
      <c r="B117" s="330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1142</v>
      </c>
      <c r="C1" s="3311"/>
      <c r="D1" s="3311"/>
      <c r="E1" s="3311"/>
      <c r="F1" s="3311"/>
      <c r="G1" s="3310" t="s">
        <v>1143</v>
      </c>
      <c r="H1" s="3310"/>
      <c r="I1" s="3310"/>
      <c r="J1" s="3310"/>
      <c r="K1" s="3310"/>
      <c r="L1" s="3310"/>
      <c r="N1" s="3310" t="s">
        <v>1144</v>
      </c>
      <c r="O1" s="3310"/>
      <c r="P1" s="3310"/>
      <c r="Q1" s="3310"/>
      <c r="R1" s="1446"/>
      <c r="S1" s="3310" t="s">
        <v>1145</v>
      </c>
      <c r="T1" s="3310"/>
      <c r="U1" s="3310"/>
      <c r="V1" s="3310"/>
      <c r="X1" s="3309" t="s">
        <v>1146</v>
      </c>
      <c r="Y1" s="3310"/>
      <c r="Z1" s="3310"/>
      <c r="AA1" s="3310"/>
      <c r="AB1" s="3310"/>
      <c r="AD1" s="3309" t="s">
        <v>1147</v>
      </c>
      <c r="AE1" s="3310"/>
      <c r="AF1" s="3310"/>
      <c r="AG1" s="3310"/>
      <c r="AH1" s="3310"/>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7">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7"/>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7"/>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6"/>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2">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7"/>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7"/>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6"/>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2">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7"/>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7"/>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8"/>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6">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7"/>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7"/>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8"/>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6">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7"/>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7"/>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8"/>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3">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4"/>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4"/>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5"/>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6">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7"/>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7"/>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8"/>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6">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7">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7">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8">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6">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7">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7">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8">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6">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7">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7">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8">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6">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7">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7">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8">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6">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7">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7">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8">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6">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7">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7">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8">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6">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7">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7">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8">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6">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7">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7">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8">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6">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7">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7">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8">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6">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7">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7">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8">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0"/>
      <c r="B4" s="3000" t="s">
        <v>1622</v>
      </c>
      <c r="C4" s="3000"/>
      <c r="D4" s="3000"/>
      <c r="E4" s="1960"/>
    </row>
    <row r="5" spans="1:5" ht="16.5" thickTop="1">
      <c r="A5" s="1958"/>
      <c r="B5" s="2998" t="s">
        <v>1614</v>
      </c>
      <c r="C5" s="1961" t="s">
        <v>1615</v>
      </c>
      <c r="D5" s="1040">
        <f ca="1">结果表!H101</f>
        <v>2742</v>
      </c>
      <c r="E5" s="1958"/>
    </row>
    <row r="6" spans="1:5" ht="15.75">
      <c r="A6" s="1958"/>
      <c r="B6" s="2998"/>
      <c r="C6" s="1961" t="s">
        <v>1616</v>
      </c>
      <c r="D6" s="1040" t="str">
        <f ca="1">NUMBERSTRING(INT(D5*10000),2)&amp;"元整"</f>
        <v>贰仟柒佰肆拾贰万元整</v>
      </c>
      <c r="E6" s="1958"/>
    </row>
    <row r="7" spans="1:5" ht="15.75">
      <c r="A7" s="1958"/>
      <c r="B7" s="3003"/>
      <c r="C7" s="1962" t="s">
        <v>1617</v>
      </c>
      <c r="D7" s="1041">
        <f ca="1">结果表!H102</f>
        <v>11801</v>
      </c>
      <c r="E7" s="1958"/>
    </row>
    <row r="8" spans="1:5" ht="15.75">
      <c r="A8" s="1958"/>
      <c r="B8" s="3004" t="str">
        <f>结果表!E103</f>
        <v>2.估价师知悉的法定优先受偿款</v>
      </c>
      <c r="C8" s="1963" t="s">
        <v>1618</v>
      </c>
      <c r="D8" s="1041">
        <f>结果表!H103</f>
        <v>0</v>
      </c>
      <c r="E8" s="1958"/>
    </row>
    <row r="9" spans="1:5" ht="15.75">
      <c r="A9" s="1958"/>
      <c r="B9" s="3006"/>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7" t="str">
        <f>结果表!E107</f>
        <v>3.房地产抵押价值</v>
      </c>
      <c r="C13" s="1966" t="s">
        <v>1615</v>
      </c>
      <c r="D13" s="1043">
        <f ca="1">结果表!H107</f>
        <v>2742</v>
      </c>
      <c r="E13" s="1958"/>
    </row>
    <row r="14" spans="1:5" ht="15.75">
      <c r="A14" s="1958"/>
      <c r="B14" s="2998"/>
      <c r="C14" s="1961" t="s">
        <v>1616</v>
      </c>
      <c r="D14" s="1040" t="str">
        <f ca="1">NUMBERSTRING(INT(D13*10000),2)&amp;"元整"</f>
        <v>贰仟柒佰肆拾贰万元整</v>
      </c>
      <c r="E14" s="1958"/>
    </row>
    <row r="15" spans="1:5" ht="15">
      <c r="A15" s="1958"/>
      <c r="B15" s="3003"/>
      <c r="C15" s="1962" t="s">
        <v>1626</v>
      </c>
      <c r="D15" s="1052">
        <f ca="1">结果表!H108</f>
        <v>11801</v>
      </c>
      <c r="E15" s="1958"/>
    </row>
    <row r="16" spans="1:5" ht="15">
      <c r="A16" s="1958"/>
      <c r="B16" s="3004" t="str">
        <f>结果表!E109</f>
        <v>——</v>
      </c>
      <c r="C16" s="1966" t="s">
        <v>1627</v>
      </c>
      <c r="D16" s="1967" t="str">
        <f>结果表!H109</f>
        <v>——</v>
      </c>
      <c r="E16" s="1958"/>
    </row>
    <row r="17" spans="1:5" ht="15.75">
      <c r="A17" s="1958"/>
      <c r="B17" s="3005"/>
      <c r="C17" s="1961" t="s">
        <v>1628</v>
      </c>
      <c r="D17" s="1040" t="e">
        <f>NUMBERSTRING(INT(D16*10000),2)&amp;"元整"</f>
        <v>#VALUE!</v>
      </c>
      <c r="E17" s="1958"/>
    </row>
    <row r="18" spans="1:5" ht="15">
      <c r="A18" s="1958"/>
      <c r="B18" s="3006"/>
      <c r="C18" s="1962" t="s">
        <v>1617</v>
      </c>
      <c r="D18" s="1052" t="str">
        <f>结果表!H110</f>
        <v>——</v>
      </c>
      <c r="E18" s="1958"/>
    </row>
    <row r="19" spans="1:5" ht="15.75">
      <c r="A19" s="1958"/>
      <c r="B19" s="2997" t="str">
        <f>结果表!E111</f>
        <v>——</v>
      </c>
      <c r="C19" s="1966" t="s">
        <v>1615</v>
      </c>
      <c r="D19" s="1041" t="str">
        <f>结果表!H111</f>
        <v>——</v>
      </c>
      <c r="E19" s="1958"/>
    </row>
    <row r="20" spans="1:5" ht="15.75">
      <c r="A20" s="1958"/>
      <c r="B20" s="2998"/>
      <c r="C20" s="1961" t="s">
        <v>1628</v>
      </c>
      <c r="D20" s="1040" t="e">
        <f>NUMBERSTRING(INT(D19*10000),2)&amp;"元整"</f>
        <v>#VALUE!</v>
      </c>
      <c r="E20" s="1958"/>
    </row>
    <row r="21" spans="1:5" ht="15.75" thickBot="1">
      <c r="A21" s="1958"/>
      <c r="B21" s="2999"/>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8" t="s">
        <v>2955</v>
      </c>
      <c r="D1" s="3319"/>
      <c r="E1" s="3319"/>
      <c r="F1" s="3319"/>
      <c r="G1" s="3319"/>
      <c r="H1" s="3319"/>
      <c r="I1" s="3319"/>
      <c r="J1" s="3319"/>
      <c r="K1" s="3319"/>
      <c r="L1" s="3319"/>
      <c r="M1" s="3319"/>
      <c r="N1" s="3319"/>
      <c r="O1" s="3319"/>
      <c r="P1" s="3319"/>
      <c r="Q1" s="3319"/>
      <c r="R1" s="3319"/>
      <c r="S1" s="3320"/>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7" t="s">
        <v>33</v>
      </c>
      <c r="D22" s="3178"/>
      <c r="E22" s="3178"/>
      <c r="F22" s="3178"/>
      <c r="G22" s="3178"/>
      <c r="H22" s="3178"/>
      <c r="I22" s="3178"/>
      <c r="J22" s="3178"/>
      <c r="K22" s="3178"/>
      <c r="L22" s="3178"/>
      <c r="M22" s="3178"/>
      <c r="N22" s="3178"/>
      <c r="O22" s="3178"/>
      <c r="P22" s="3178"/>
      <c r="Q22" s="3317"/>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26254</v>
      </c>
      <c r="C2" s="2" t="s">
        <v>133</v>
      </c>
      <c r="D2" s="243"/>
      <c r="E2" s="243"/>
      <c r="F2" s="243"/>
      <c r="G2" s="243"/>
    </row>
    <row r="3" spans="1:7" s="244" customFormat="1" ht="18" customHeight="1" thickBot="1">
      <c r="A3" s="247" t="s">
        <v>85</v>
      </c>
      <c r="B3" s="248">
        <f ca="1">ROUND(B2*10000/'数据-汇总表'!E3,0)</f>
        <v>112992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14</v>
      </c>
      <c r="D9" s="1032">
        <f>'数据-汇总表'!E5</f>
        <v>1159.21</v>
      </c>
      <c r="E9" s="269">
        <f>'数据-取费表'!B27</f>
        <v>122</v>
      </c>
      <c r="F9" s="265"/>
      <c r="G9" s="270"/>
    </row>
    <row r="10" spans="1:7" s="258" customFormat="1" ht="13.5" customHeight="1">
      <c r="A10" s="950" t="s">
        <v>800</v>
      </c>
      <c r="B10" s="268" t="s">
        <v>94</v>
      </c>
      <c r="C10" s="269">
        <f>ROUND(D10*E10/10000,0)</f>
        <v>14</v>
      </c>
      <c r="D10" s="1032">
        <f>'数据-汇总表'!E6</f>
        <v>1164.3199999999997</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v>
      </c>
      <c r="D19" s="1036">
        <f>'数据-汇总表'!E3</f>
        <v>2323.5299999999997</v>
      </c>
      <c r="E19" s="255">
        <f>'数据-取费表'!B31</f>
        <v>150</v>
      </c>
      <c r="F19" s="275"/>
      <c r="G19" s="1" t="s">
        <v>1070</v>
      </c>
    </row>
    <row r="20" spans="1:7" s="258" customFormat="1" ht="13.5" customHeight="1">
      <c r="A20" s="948" t="s">
        <v>1053</v>
      </c>
      <c r="B20" s="254" t="s">
        <v>104</v>
      </c>
      <c r="C20" s="276">
        <f>ROUND((C5+C19)*F20,0)</f>
        <v>206</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1188</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1180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792</v>
      </c>
      <c r="B25" s="259" t="s">
        <v>1054</v>
      </c>
      <c r="C25" s="1355">
        <f ca="1">ROUND(IF('数据-取费表'!B22&lt;=1,C20*F22*'数据-取费表'!B23/2,C20*(POWER((1+F22),'数据-取费表'!B23/2)-1)),0)</f>
        <v>6</v>
      </c>
      <c r="D25" s="282"/>
      <c r="E25" s="285"/>
      <c r="F25" s="283"/>
      <c r="G25" s="286" t="s">
        <v>110</v>
      </c>
    </row>
    <row r="26" spans="1:7" s="258" customFormat="1">
      <c r="A26" s="951" t="s">
        <v>794</v>
      </c>
      <c r="B26" s="259" t="s">
        <v>1056</v>
      </c>
      <c r="C26" s="282">
        <f ca="1">ROUND(IF('数据-取费表'!B22&lt;=1,F21*F22*'数据-取费表'!B23/2,F21*(POWER((1+F22),'数据-取费表'!B23/2)-1)),4)</f>
        <v>2.9999999999999997E-4</v>
      </c>
      <c r="D26" s="282"/>
      <c r="E26" s="285"/>
      <c r="F26" s="283"/>
      <c r="G26" s="287"/>
    </row>
    <row r="27" spans="1:7" s="258" customFormat="1" ht="24.75">
      <c r="A27" s="948" t="s">
        <v>786</v>
      </c>
      <c r="B27" s="288" t="s">
        <v>112</v>
      </c>
      <c r="C27" s="289">
        <f>C28</f>
        <v>1877</v>
      </c>
      <c r="D27" s="279">
        <f>C29</f>
        <v>8.9999999999999998E-4</v>
      </c>
      <c r="E27" s="280" t="s">
        <v>126</v>
      </c>
      <c r="F27" s="290">
        <f>'数据-取费表'!Q16</f>
        <v>0.15</v>
      </c>
      <c r="G27" s="291" t="s">
        <v>1065</v>
      </c>
    </row>
    <row r="28" spans="1:7" s="258" customFormat="1" ht="13.5" customHeight="1">
      <c r="A28" s="951" t="s">
        <v>793</v>
      </c>
      <c r="B28" s="292" t="s">
        <v>1058</v>
      </c>
      <c r="C28" s="293">
        <f>ROUND((C5+C19+C20)*F27*'数据-取费表'!B21/'数据-取费表'!B20,0)</f>
        <v>1877</v>
      </c>
      <c r="D28" s="279"/>
      <c r="E28" s="280"/>
      <c r="F28" s="290"/>
      <c r="G28" s="291"/>
    </row>
    <row r="29" spans="1:7" s="258" customFormat="1" ht="13.5" customHeight="1">
      <c r="A29" s="951" t="s">
        <v>791</v>
      </c>
      <c r="B29" s="292" t="s">
        <v>1059</v>
      </c>
      <c r="C29" s="282">
        <f>ROUND(C21*F27*'数据-取费表'!B21/'数据-取费表'!B20,4)</f>
        <v>8.9999999999999998E-4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25566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541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489</v>
      </c>
      <c r="D34" s="261"/>
      <c r="E34" s="264"/>
      <c r="F34" s="301">
        <f>IF('数据-取费表'!B24=0,1,'数据-取费表'!N16)</f>
        <v>0.6</v>
      </c>
      <c r="G34" s="263" t="s">
        <v>116</v>
      </c>
    </row>
    <row r="35" spans="1:7" ht="13.5" customHeight="1">
      <c r="A35" s="951" t="s">
        <v>795</v>
      </c>
      <c r="B35" s="259" t="s">
        <v>60</v>
      </c>
      <c r="C35" s="264">
        <f>ROUND(C34*F35,0)</f>
        <v>24</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21</v>
      </c>
      <c r="D37" s="261">
        <f>'数据-汇总表'!E3</f>
        <v>2323.5299999999997</v>
      </c>
      <c r="E37" s="293">
        <f>'数据-取费表'!B35</f>
        <v>150</v>
      </c>
      <c r="F37" s="303"/>
      <c r="G37" s="305" t="s">
        <v>119</v>
      </c>
    </row>
    <row r="38" spans="1:7" ht="13.5" customHeight="1">
      <c r="A38" s="951" t="s">
        <v>798</v>
      </c>
      <c r="B38" s="259" t="s">
        <v>63</v>
      </c>
      <c r="C38" s="264">
        <f>ROUND(C34*F38,0)</f>
        <v>7</v>
      </c>
      <c r="D38" s="264"/>
      <c r="E38" s="264"/>
      <c r="F38" s="303">
        <f>'数据-取费表'!B36</f>
        <v>1.4999999999999999E-2</v>
      </c>
      <c r="G38" s="263" t="s">
        <v>117</v>
      </c>
    </row>
    <row r="39" spans="1:7" s="258" customFormat="1" ht="13.5" customHeight="1">
      <c r="A39" s="948" t="s">
        <v>782</v>
      </c>
      <c r="B39" s="254" t="s">
        <v>104</v>
      </c>
      <c r="C39" s="276">
        <f>ROUND(C33*F20,0)</f>
        <v>5</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15</v>
      </c>
      <c r="D41" s="279">
        <f ca="1">C44</f>
        <v>2.9999999999999997E-4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15</v>
      </c>
      <c r="D42" s="282"/>
      <c r="E42" s="282"/>
      <c r="F42" s="283"/>
      <c r="G42" s="3226" t="s">
        <v>121</v>
      </c>
    </row>
    <row r="43" spans="1:7" ht="13.5" customHeight="1">
      <c r="A43" s="951" t="s">
        <v>791</v>
      </c>
      <c r="B43" s="259" t="s">
        <v>1060</v>
      </c>
      <c r="C43" s="282">
        <f ca="1">ROUND(IF('数据-取费表'!B22&lt;=1,C39*F22*'数据-取费表'!B21/2,C39*(POWER((1+F22),'数据-取费表'!B21/2)-1)),0)</f>
        <v>0</v>
      </c>
      <c r="D43" s="282"/>
      <c r="E43" s="282"/>
      <c r="F43" s="283"/>
      <c r="G43" s="3227"/>
    </row>
    <row r="44" spans="1:7" ht="13.5" customHeight="1">
      <c r="A44" s="951" t="s">
        <v>792</v>
      </c>
      <c r="B44" s="259" t="s">
        <v>1062</v>
      </c>
      <c r="C44" s="282">
        <f ca="1">ROUND(IF('数据-取费表'!B22&lt;=1,C40*F22*'数据-取费表'!B21/2,C40*(POWER((1+F22),'数据-取费表'!B21/2)-1)),4)</f>
        <v>2.9999999999999997E-4</v>
      </c>
      <c r="D44" s="282"/>
      <c r="E44" s="282"/>
      <c r="F44" s="283"/>
      <c r="G44" s="3228"/>
    </row>
    <row r="45" spans="1:7" s="258" customFormat="1" ht="13.5" customHeight="1">
      <c r="A45" s="948" t="s">
        <v>785</v>
      </c>
      <c r="B45" s="288" t="s">
        <v>112</v>
      </c>
      <c r="C45" s="289">
        <f>C46</f>
        <v>82</v>
      </c>
      <c r="D45" s="279">
        <f>C47</f>
        <v>1.5E-3</v>
      </c>
      <c r="E45" s="280" t="s">
        <v>129</v>
      </c>
      <c r="F45" s="290"/>
      <c r="G45" s="291" t="s">
        <v>1068</v>
      </c>
    </row>
    <row r="46" spans="1:7" s="258" customFormat="1" ht="13.5" customHeight="1">
      <c r="A46" s="951" t="s">
        <v>793</v>
      </c>
      <c r="B46" s="292" t="s">
        <v>1061</v>
      </c>
      <c r="C46" s="293">
        <f>ROUND((C33+C39)*F27,0)</f>
        <v>82</v>
      </c>
      <c r="D46" s="307"/>
      <c r="E46" s="280"/>
      <c r="F46" s="290"/>
      <c r="G46" s="291"/>
    </row>
    <row r="47" spans="1:7" s="258" customFormat="1" ht="13.5" customHeight="1">
      <c r="A47" s="951" t="s">
        <v>791</v>
      </c>
      <c r="B47" s="292" t="s">
        <v>1063</v>
      </c>
      <c r="C47" s="282">
        <f>ROUND(C40*F27,4)</f>
        <v>1.5E-3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688</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688</v>
      </c>
      <c r="D51" s="276"/>
      <c r="E51" s="276"/>
      <c r="F51" s="308"/>
      <c r="G51" s="278" t="s">
        <v>64</v>
      </c>
    </row>
    <row r="52" spans="1:7" s="252" customFormat="1" ht="16.5" thickBot="1">
      <c r="A52" s="309" t="s">
        <v>65</v>
      </c>
      <c r="B52" s="310"/>
      <c r="C52" s="311">
        <f ca="1">C31+C51</f>
        <v>26254</v>
      </c>
      <c r="D52" s="310"/>
      <c r="E52" s="310"/>
      <c r="F52" s="310"/>
      <c r="G52" s="312"/>
    </row>
    <row r="55" spans="1:7" ht="15">
      <c r="B55" s="314" t="s">
        <v>66</v>
      </c>
      <c r="C55" s="315"/>
    </row>
    <row r="56" spans="1:7">
      <c r="B56" s="317" t="s">
        <v>67</v>
      </c>
      <c r="C56" s="318">
        <f ca="1">ROUND(C51/C52,3)</f>
        <v>2.5999999999999999E-2</v>
      </c>
    </row>
    <row r="57" spans="1:7">
      <c r="B57" s="317" t="s">
        <v>68</v>
      </c>
      <c r="C57" s="319">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43871</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48</v>
      </c>
      <c r="D1" s="1819" t="s">
        <v>3311</v>
      </c>
      <c r="E1" s="1820" t="s">
        <v>1379</v>
      </c>
      <c r="F1" s="1283">
        <f ca="1">J53</f>
        <v>46.89</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785</v>
      </c>
      <c r="C2" s="1844" t="s">
        <v>1508</v>
      </c>
      <c r="D2" s="1844"/>
      <c r="E2" s="1845"/>
      <c r="F2" s="1846"/>
      <c r="G2" s="1847"/>
      <c r="H2" s="1839"/>
      <c r="I2" s="1839"/>
      <c r="J2" s="1839"/>
      <c r="K2" s="1840"/>
      <c r="L2" s="1839"/>
      <c r="M2" s="1839"/>
    </row>
    <row r="3" spans="1:37" ht="18" customHeight="1" thickBot="1">
      <c r="A3" s="1848" t="s">
        <v>1509</v>
      </c>
      <c r="B3" s="1849">
        <f ca="1">IF(ISERROR(B2*10000/F43),0,ROUND(B2*10000/F43,0))</f>
        <v>6742</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51</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51</v>
      </c>
      <c r="D6" s="164" t="s">
        <v>2981</v>
      </c>
      <c r="E6" s="347" t="s">
        <v>1397</v>
      </c>
      <c r="F6" s="348">
        <f ca="1">INDIRECT("'数据-取费表'!u"&amp;$G$1)</f>
        <v>900</v>
      </c>
      <c r="G6" s="1850"/>
      <c r="H6" s="1291" t="s">
        <v>1031</v>
      </c>
      <c r="I6" s="3241" t="s">
        <v>1395</v>
      </c>
      <c r="J6" s="346">
        <f ca="1">ROUND(M6*M8*M7*(1-M9)/10000,0)</f>
        <v>0</v>
      </c>
      <c r="K6" s="164" t="s">
        <v>2980</v>
      </c>
      <c r="L6" s="347" t="s">
        <v>1397</v>
      </c>
      <c r="M6" s="348">
        <f ca="1">INDIRECT("'数据-取费表'!z"&amp;$G$1)</f>
        <v>0</v>
      </c>
    </row>
    <row r="7" spans="1:37" ht="18" customHeight="1">
      <c r="A7" s="1295"/>
      <c r="B7" s="3242"/>
      <c r="C7" s="1297"/>
      <c r="D7" s="352"/>
      <c r="E7" s="2976" t="s">
        <v>1398</v>
      </c>
      <c r="F7" s="348">
        <f ca="1">IF(INDIRECT("'数据-取费表'!ah"&amp;$G$1)="",INDIRECT("'数据-取费表'!k"&amp;$G$1),INDIRECT("'数据-取费表'!ah"&amp;$G$1))</f>
        <v>52</v>
      </c>
      <c r="G7" s="1850"/>
      <c r="H7" s="349"/>
      <c r="I7" s="3242"/>
      <c r="J7" s="351"/>
      <c r="K7" s="352"/>
      <c r="L7" s="347" t="s">
        <v>1398</v>
      </c>
      <c r="M7" s="348">
        <f ca="1">F7</f>
        <v>52</v>
      </c>
    </row>
    <row r="8" spans="1:37" ht="18" customHeight="1">
      <c r="A8" s="349"/>
      <c r="B8" s="3242"/>
      <c r="C8" s="351"/>
      <c r="D8" s="352"/>
      <c r="E8" s="347" t="s">
        <v>1399</v>
      </c>
      <c r="F8" s="348">
        <f ca="1">INDIRECT("'数据-取费表'!ai"&amp;$G$1)</f>
        <v>12</v>
      </c>
      <c r="G8" s="1850"/>
      <c r="H8" s="349"/>
      <c r="I8" s="3242"/>
      <c r="J8" s="351"/>
      <c r="K8" s="352"/>
      <c r="L8" s="347" t="s">
        <v>1399</v>
      </c>
      <c r="M8" s="348">
        <f ca="1">INDIRECT("'数据-取费表'!ai"&amp;$G$1)</f>
        <v>12</v>
      </c>
    </row>
    <row r="9" spans="1:37" ht="18" customHeight="1">
      <c r="A9" s="349"/>
      <c r="B9" s="3243"/>
      <c r="C9" s="351"/>
      <c r="D9" s="352"/>
      <c r="E9" s="347" t="s">
        <v>1400</v>
      </c>
      <c r="F9" s="357">
        <f ca="1">INDIRECT("'数据-取费表'!w"&amp;$G$1)</f>
        <v>0.1</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3349</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534</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408</v>
      </c>
      <c r="D14" s="2969" t="s">
        <v>1410</v>
      </c>
      <c r="E14" s="2967"/>
      <c r="F14" s="364"/>
      <c r="G14" s="1850"/>
      <c r="H14" s="1201" t="s">
        <v>1031</v>
      </c>
      <c r="I14" s="347" t="s">
        <v>1411</v>
      </c>
      <c r="J14" s="24">
        <f ca="1">C29</f>
        <v>534</v>
      </c>
      <c r="K14" s="2975"/>
      <c r="L14" s="979"/>
      <c r="M14" s="980"/>
    </row>
    <row r="15" spans="1:37" s="1857" customFormat="1" ht="18" customHeight="1" thickBot="1">
      <c r="A15" s="1201" t="s">
        <v>1032</v>
      </c>
      <c r="B15" s="347" t="s">
        <v>1412</v>
      </c>
      <c r="C15" s="24">
        <f ca="1">ROUND(C14*F15,0)</f>
        <v>20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15</v>
      </c>
      <c r="K16" s="1337" t="s">
        <v>1417</v>
      </c>
      <c r="L16" s="2970"/>
      <c r="M16" s="1294"/>
    </row>
    <row r="17" spans="1:37" s="1857" customFormat="1" ht="18" customHeight="1">
      <c r="A17" s="1201" t="s">
        <v>1382</v>
      </c>
      <c r="B17" s="347" t="s">
        <v>1418</v>
      </c>
      <c r="C17" s="24">
        <f ca="1">ROUND(F17*(F43+INDIRECT("'数据-取费表'!S"&amp;$G$1))/10000,0)</f>
        <v>17</v>
      </c>
      <c r="D17" s="347" t="s">
        <v>1419</v>
      </c>
      <c r="E17" s="347" t="s">
        <v>1420</v>
      </c>
      <c r="F17" s="26">
        <f>'数据-取费表'!B35</f>
        <v>150</v>
      </c>
      <c r="G17" s="1853"/>
      <c r="H17" s="1201" t="s">
        <v>1031</v>
      </c>
      <c r="I17" s="347" t="s">
        <v>1421</v>
      </c>
      <c r="J17" s="24">
        <f ca="1">ROUND(IF(项目基本情况!B11="自然人",J5*M17,J18+J19+J20),1)</f>
        <v>4.5999999999999996</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451</v>
      </c>
      <c r="D19" s="140" t="s">
        <v>1428</v>
      </c>
      <c r="E19" s="2974"/>
      <c r="F19" s="26"/>
      <c r="G19" s="1850"/>
      <c r="H19" s="1201" t="s">
        <v>1032</v>
      </c>
      <c r="I19" s="347" t="s">
        <v>1429</v>
      </c>
      <c r="J19" s="24">
        <f ca="1">IF(K19="按租金收入计税",ROUND(J5*M19,2),ROUND(C29*M19*0.7,2))</f>
        <v>4.49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5</v>
      </c>
      <c r="D20" s="369" t="s">
        <v>1432</v>
      </c>
      <c r="E20" s="347" t="s">
        <v>1414</v>
      </c>
      <c r="F20" s="367">
        <f>'数据-取费表'!B37</f>
        <v>0.01</v>
      </c>
      <c r="G20" s="1853"/>
      <c r="H20" s="1201" t="s">
        <v>1381</v>
      </c>
      <c r="I20" s="164" t="s">
        <v>1433</v>
      </c>
      <c r="J20" s="25">
        <f ca="1">ROUND(M20*M21/10000,2)</f>
        <v>0.12</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623.67999999999995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10.7</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5.0000000000000001E-4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-15</v>
      </c>
      <c r="K25" s="1345" t="s">
        <v>1456</v>
      </c>
      <c r="L25" s="1346"/>
      <c r="M25" s="1347"/>
    </row>
    <row r="26" spans="1:37">
      <c r="A26" s="1201" t="s">
        <v>1030</v>
      </c>
      <c r="B26" s="347" t="s">
        <v>1457</v>
      </c>
      <c r="C26" s="24">
        <f ca="1">ROUND((C19+C20)*F26,0)</f>
        <v>23</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534</v>
      </c>
      <c r="D29" s="1342"/>
      <c r="E29" s="1340"/>
      <c r="F29" s="1343"/>
      <c r="G29" s="1853"/>
      <c r="H29" s="380" t="s">
        <v>1029</v>
      </c>
      <c r="I29" s="381" t="s">
        <v>1471</v>
      </c>
      <c r="J29" s="382">
        <f ca="1">ROUND(J26/(1+F40)^F41,0)</f>
        <v>0</v>
      </c>
      <c r="K29" s="383" t="s">
        <v>1472</v>
      </c>
      <c r="L29" s="384"/>
      <c r="M29" s="385">
        <f ca="1">INDIRECT("'数据-取费表'!k"&amp;$G$1)</f>
        <v>1164.32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22</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9</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2.72</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6.12</v>
      </c>
      <c r="D33" s="1827" t="s">
        <v>3313</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0.12</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623.67999999999995</v>
      </c>
      <c r="G35" s="1850"/>
      <c r="H35" s="745"/>
      <c r="I35" s="1859"/>
      <c r="J35" s="1860"/>
      <c r="K35" s="1861"/>
      <c r="L35" s="1858"/>
      <c r="M35" s="1858"/>
    </row>
    <row r="36" spans="1:18" ht="18" customHeight="1">
      <c r="A36" s="1352" t="s">
        <v>1035</v>
      </c>
      <c r="B36" s="347" t="s">
        <v>1441</v>
      </c>
      <c r="C36" s="24">
        <f ca="1">ROUND(C29*F36,1)</f>
        <v>10.7</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1.1000000000000001</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1</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29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785</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46.89</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6742</v>
      </c>
      <c r="D43" s="383" t="s">
        <v>1480</v>
      </c>
      <c r="E43" s="384" t="s">
        <v>1481</v>
      </c>
      <c r="F43" s="385">
        <f ca="1">INDIRECT("'数据-取费表'!k"&amp;$G$1)</f>
        <v>1164.32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-1809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3314</v>
      </c>
      <c r="K47" s="1881" t="s">
        <v>1519</v>
      </c>
      <c r="L47" s="1882">
        <f ca="1">INDIRECT("'数据-取费表'!d"&amp;$G$1)</f>
        <v>50</v>
      </c>
      <c r="M47" s="1837" t="str">
        <f>IF(ISNUMBER(FIND("住宅",C1)),"住宅","非住宅")</f>
        <v>非住宅</v>
      </c>
      <c r="O47" s="1883" t="s">
        <v>1036</v>
      </c>
      <c r="P47" s="1884" t="s">
        <v>1520</v>
      </c>
      <c r="Q47" s="1885">
        <f ca="1">C40+J29</f>
        <v>785</v>
      </c>
      <c r="R47" s="1885" t="s">
        <v>1521</v>
      </c>
    </row>
    <row r="48" spans="1:18" s="1841" customFormat="1" ht="28.5" thickBot="1">
      <c r="A48" s="1360" t="s">
        <v>1131</v>
      </c>
      <c r="B48" s="345" t="s">
        <v>1393</v>
      </c>
      <c r="C48" s="2973">
        <f ca="1">C49+C53+C55</f>
        <v>0</v>
      </c>
      <c r="D48" s="1362"/>
      <c r="E48" s="1363"/>
      <c r="F48" s="1181"/>
      <c r="G48" s="792"/>
      <c r="H48" s="793"/>
      <c r="I48" s="1886" t="s">
        <v>1522</v>
      </c>
      <c r="J48" s="1887" t="s">
        <v>3315</v>
      </c>
      <c r="K48" s="1888" t="s">
        <v>1523</v>
      </c>
      <c r="L48" s="1889">
        <f ca="1">INDIRECT("'数据-取费表'!f"&amp;$G$1)</f>
        <v>47.69</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2022</v>
      </c>
      <c r="K49" s="1888" t="s">
        <v>1527</v>
      </c>
      <c r="L49" s="1892"/>
      <c r="O49" s="1893" t="s">
        <v>1038</v>
      </c>
      <c r="P49" s="1884" t="s">
        <v>1528</v>
      </c>
      <c r="Q49" s="1885">
        <f ca="1">C29</f>
        <v>534</v>
      </c>
      <c r="R49" s="1885" t="s">
        <v>1521</v>
      </c>
    </row>
    <row r="50" spans="1:18" s="1841" customFormat="1" ht="13.5" thickBot="1">
      <c r="A50" s="1195"/>
      <c r="B50" s="1198"/>
      <c r="C50" s="1368"/>
      <c r="D50" s="1172"/>
      <c r="E50" s="1277" t="s">
        <v>1398</v>
      </c>
      <c r="F50" s="1278">
        <f ca="1">F7</f>
        <v>52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62</v>
      </c>
      <c r="K51" s="1899" t="s">
        <v>1533</v>
      </c>
      <c r="L51" s="1900">
        <f ca="1">ROUND(-PV(INDIRECT("'数据-取费表'!h"&amp;$G$1),L48,(C39-C13*C76),0),0)</f>
        <v>-320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46.89</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46.89</v>
      </c>
      <c r="K53" s="3239" t="s">
        <v>1540</v>
      </c>
      <c r="L53" s="3240"/>
      <c r="O53" s="1883" t="s">
        <v>1042</v>
      </c>
      <c r="P53" s="1884" t="s">
        <v>1541</v>
      </c>
      <c r="Q53" s="1885">
        <f ca="1">Q47+Q48</f>
        <v>785</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534</v>
      </c>
      <c r="D56" s="1913"/>
      <c r="E56" s="1914"/>
      <c r="F56" s="1906"/>
      <c r="I56" s="1915" t="s">
        <v>1546</v>
      </c>
      <c r="J56" s="1916" t="s">
        <v>3023</v>
      </c>
      <c r="K56" s="1886" t="s">
        <v>1547</v>
      </c>
      <c r="L56" s="1889" t="str">
        <f ca="1">IF(L48&lt;J51,"——",L48-J53)</f>
        <v>——</v>
      </c>
      <c r="O56" s="1883" t="s">
        <v>1036</v>
      </c>
      <c r="P56" s="1884" t="s">
        <v>1520</v>
      </c>
      <c r="Q56" s="1885">
        <f ca="1">C40+J29</f>
        <v>785</v>
      </c>
      <c r="R56" s="1885" t="s">
        <v>1521</v>
      </c>
    </row>
    <row r="57" spans="1:18" s="1841" customFormat="1" ht="24.75" thickBot="1">
      <c r="A57" s="1917"/>
      <c r="B57" s="1169" t="s">
        <v>1470</v>
      </c>
      <c r="C57" s="282">
        <f ca="1">C29</f>
        <v>534</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57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45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44.86</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0.12</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785</v>
      </c>
      <c r="R62" s="1885" t="s">
        <v>1043</v>
      </c>
    </row>
    <row r="63" spans="1:18" s="1841" customFormat="1" ht="13.5" thickBot="1">
      <c r="A63" s="372"/>
      <c r="B63" s="1175"/>
      <c r="C63" s="29"/>
      <c r="D63" s="1185"/>
      <c r="E63" s="1169" t="s">
        <v>1439</v>
      </c>
      <c r="F63" s="348">
        <f t="shared" ca="1" si="0"/>
        <v>623.67999999999995</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10.7</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1.1000000000000001</v>
      </c>
      <c r="D65" s="1183" t="s">
        <v>1446</v>
      </c>
      <c r="E65" s="1169" t="s">
        <v>1447</v>
      </c>
      <c r="F65" s="376">
        <f t="shared" ca="1" si="0"/>
        <v>2E-3</v>
      </c>
      <c r="I65" s="1928" t="s">
        <v>1571</v>
      </c>
      <c r="J65" s="1929">
        <v>40</v>
      </c>
      <c r="K65" s="1929">
        <v>30</v>
      </c>
      <c r="L65" s="1929">
        <v>50</v>
      </c>
      <c r="M65" s="1931">
        <v>0.02</v>
      </c>
      <c r="O65" s="1883" t="s">
        <v>1036</v>
      </c>
      <c r="P65" s="1884" t="s">
        <v>1572</v>
      </c>
      <c r="Q65" s="1885">
        <f ca="1">C40+J29</f>
        <v>785</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-57</v>
      </c>
      <c r="D67" s="1182" t="s">
        <v>1456</v>
      </c>
      <c r="E67" s="1187"/>
      <c r="F67" s="1188"/>
      <c r="O67" s="1893" t="s">
        <v>1038</v>
      </c>
      <c r="P67" s="1884" t="s">
        <v>1554</v>
      </c>
      <c r="Q67" s="1932">
        <f ca="1">L51</f>
        <v>-320</v>
      </c>
      <c r="R67" s="1885" t="s">
        <v>1574</v>
      </c>
    </row>
    <row r="68" spans="1:18" s="1841" customFormat="1" ht="16.5" thickBot="1">
      <c r="A68" s="1166" t="s">
        <v>1028</v>
      </c>
      <c r="B68" s="1167" t="s">
        <v>1477</v>
      </c>
      <c r="C68" s="346">
        <f ca="1">ROUND(C67*(1-((1+F70)/(1+F68))^F69)/(F68-F70),0)</f>
        <v>-1024</v>
      </c>
      <c r="D68" s="1184" t="s">
        <v>1461</v>
      </c>
      <c r="E68" s="1169" t="s">
        <v>1462</v>
      </c>
      <c r="F68" s="357">
        <f ca="1">F40</f>
        <v>0.05</v>
      </c>
      <c r="O68" s="1893" t="s">
        <v>1039</v>
      </c>
      <c r="P68" s="1933" t="s">
        <v>1575</v>
      </c>
      <c r="Q68" s="1885">
        <f ca="1">ROUND(Q69-Q70*Q71,0)</f>
        <v>-16</v>
      </c>
      <c r="R68" s="1885" t="s">
        <v>1047</v>
      </c>
    </row>
    <row r="69" spans="1:18" s="1841" customFormat="1" ht="13.5" thickBot="1">
      <c r="A69" s="1170"/>
      <c r="B69" s="1171"/>
      <c r="C69" s="351"/>
      <c r="D69" s="1189" t="s">
        <v>1465</v>
      </c>
      <c r="E69" s="1169" t="s">
        <v>1466</v>
      </c>
      <c r="F69" s="379">
        <f ca="1">F41</f>
        <v>46.89</v>
      </c>
      <c r="O69" s="1893" t="s">
        <v>1044</v>
      </c>
      <c r="P69" s="1933" t="s">
        <v>1576</v>
      </c>
      <c r="Q69" s="1885">
        <f ca="1">C39</f>
        <v>29</v>
      </c>
      <c r="R69" s="1885" t="s">
        <v>1521</v>
      </c>
    </row>
    <row r="70" spans="1:18" s="1841" customFormat="1" ht="13.5" thickBot="1">
      <c r="A70" s="1173"/>
      <c r="B70" s="1174"/>
      <c r="C70" s="355"/>
      <c r="D70" s="1185"/>
      <c r="E70" s="1169" t="s">
        <v>1469</v>
      </c>
      <c r="F70" s="1275"/>
      <c r="O70" s="1893" t="s">
        <v>1045</v>
      </c>
      <c r="P70" s="1933" t="s">
        <v>1577</v>
      </c>
      <c r="Q70" s="1885">
        <f ca="1">C13</f>
        <v>534</v>
      </c>
      <c r="R70" s="1885" t="s">
        <v>1521</v>
      </c>
    </row>
    <row r="71" spans="1:18" s="1841" customFormat="1" ht="13.5" thickBot="1">
      <c r="A71" s="1190" t="s">
        <v>1029</v>
      </c>
      <c r="B71" s="1191" t="s">
        <v>1479</v>
      </c>
      <c r="C71" s="382">
        <f ca="1">ROUND(C68*10000/F71,0)</f>
        <v>-8795</v>
      </c>
      <c r="D71" s="1192" t="s">
        <v>1480</v>
      </c>
      <c r="E71" s="1193" t="s">
        <v>1481</v>
      </c>
      <c r="F71" s="385">
        <f ca="1">F43</f>
        <v>1164.32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45</v>
      </c>
      <c r="D75" s="1841"/>
      <c r="E75" s="1841"/>
      <c r="F75" s="1841"/>
      <c r="K75" s="1867"/>
      <c r="L75" s="1841"/>
      <c r="O75" s="1883" t="s">
        <v>1042</v>
      </c>
      <c r="P75" s="1884" t="s">
        <v>1541</v>
      </c>
      <c r="Q75" s="1885">
        <f ca="1">Q65+Q66</f>
        <v>785</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-0.55200000000000005</v>
      </c>
    </row>
    <row r="80" spans="1:18">
      <c r="B80" s="386" t="s">
        <v>1503</v>
      </c>
      <c r="C80" s="318">
        <f ca="1">ROUND(C75/C39,3)</f>
        <v>1.552</v>
      </c>
    </row>
    <row r="81" spans="2:3">
      <c r="B81" s="314" t="s">
        <v>1504</v>
      </c>
      <c r="C81" s="282"/>
    </row>
    <row r="82" spans="2:3">
      <c r="B82" s="317" t="s">
        <v>1505</v>
      </c>
      <c r="C82" s="319">
        <f ca="1">1-C83</f>
        <v>0.31999999999999995</v>
      </c>
    </row>
    <row r="83" spans="2:3">
      <c r="B83" s="317" t="s">
        <v>1506</v>
      </c>
      <c r="C83" s="318">
        <f ca="1">ROUND(C13/C40,3)</f>
        <v>0.68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1633</v>
      </c>
      <c r="B2" s="3017" t="s">
        <v>1634</v>
      </c>
      <c r="C2" s="3017" t="s">
        <v>1635</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4" t="s">
        <v>1630</v>
      </c>
      <c r="E3" s="1044" t="s">
        <v>1636</v>
      </c>
      <c r="F3" s="1044" t="s">
        <v>1630</v>
      </c>
      <c r="G3" s="1044" t="s">
        <v>1631</v>
      </c>
      <c r="H3" s="1044" t="s">
        <v>1630</v>
      </c>
      <c r="I3" s="1044" t="s">
        <v>1631</v>
      </c>
    </row>
    <row r="4" spans="1:9" ht="60">
      <c r="A4" s="1972" t="str">
        <f>项目基本情况!S2</f>
        <v>山东省济南市高新区旅游路以南、凤凰路以西A-13出让国有建设用地使用权及在建建筑物房地产</v>
      </c>
      <c r="B4" s="1044">
        <f>项目基本情况!C17</f>
        <v>2323.5299999999997</v>
      </c>
      <c r="C4" s="1044">
        <f>项目基本情况!C18</f>
        <v>1244.6199999999999</v>
      </c>
      <c r="D4" s="1044">
        <f ca="1">结果表!D118</f>
        <v>1988</v>
      </c>
      <c r="E4" s="1044">
        <f ca="1">结果表!E118</f>
        <v>8556</v>
      </c>
      <c r="F4" s="1044">
        <f ca="1">结果表!F118</f>
        <v>754</v>
      </c>
      <c r="G4" s="1044">
        <f ca="1">结果表!G118</f>
        <v>3245</v>
      </c>
      <c r="H4" s="1044">
        <f ca="1">结果表!H118</f>
        <v>2742</v>
      </c>
      <c r="I4" s="1044">
        <f ca="1">结果表!I118</f>
        <v>11801</v>
      </c>
    </row>
    <row r="5" spans="1:9" ht="30" customHeight="1">
      <c r="A5" s="3011" t="s">
        <v>1632</v>
      </c>
      <c r="B5" s="3011"/>
      <c r="C5" s="3011"/>
      <c r="D5" s="3012" t="str">
        <f ca="1">结果表!D119</f>
        <v>壹仟玖佰捌拾捌万元整</v>
      </c>
      <c r="E5" s="3012"/>
      <c r="F5" s="3012" t="str">
        <f ca="1">结果表!F119</f>
        <v>柒佰伍拾肆万元整</v>
      </c>
      <c r="G5" s="3012"/>
      <c r="H5" s="3012" t="str">
        <f ca="1">结果表!H119</f>
        <v>贰仟柒佰肆拾贰万元整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1632</v>
      </c>
      <c r="B7" s="3011"/>
      <c r="C7" s="3011"/>
      <c r="D7" s="3013" t="str">
        <f>结果表!D121</f>
        <v>零元整</v>
      </c>
      <c r="E7" s="3014"/>
      <c r="F7" s="3014"/>
      <c r="G7" s="3014"/>
      <c r="H7" s="3014"/>
      <c r="I7" s="3015"/>
    </row>
    <row r="8" spans="1:9" ht="15.75">
      <c r="A8" s="3010" t="str">
        <f>结果表!A122</f>
        <v>房地产抵押价值</v>
      </c>
      <c r="B8" s="3010"/>
      <c r="C8" s="3010"/>
      <c r="D8" s="3010">
        <f ca="1">结果表!D122</f>
        <v>2742</v>
      </c>
      <c r="E8" s="3010"/>
      <c r="F8" s="3010"/>
      <c r="G8" s="3010"/>
      <c r="H8" s="3010"/>
      <c r="I8" s="3010"/>
    </row>
    <row r="9" spans="1:9" ht="15">
      <c r="A9" s="3011" t="s">
        <v>1632</v>
      </c>
      <c r="B9" s="3011"/>
      <c r="C9" s="3011"/>
      <c r="D9" s="3012" t="str">
        <f ca="1">结果表!D123</f>
        <v>贰仟柒佰肆拾贰万元整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1632</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1632</v>
      </c>
      <c r="B13" s="3007"/>
      <c r="C13" s="3007"/>
      <c r="D13" s="3008" t="e">
        <f>结果表!D127</f>
        <v>#VALUE!</v>
      </c>
      <c r="E13" s="3008"/>
      <c r="F13" s="3008"/>
      <c r="G13" s="3008"/>
      <c r="H13" s="3008"/>
      <c r="I13" s="3008"/>
    </row>
    <row r="14" spans="1:9" ht="15" thickTop="1">
      <c r="A14" s="3009" t="s">
        <v>1637</v>
      </c>
      <c r="B14" s="3009"/>
      <c r="C14" s="3009"/>
      <c r="D14" s="3009"/>
      <c r="E14" s="3009"/>
      <c r="F14" s="3009"/>
      <c r="G14" s="3009"/>
      <c r="H14" s="3009"/>
      <c r="I14" s="3009"/>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3035</v>
      </c>
      <c r="E23" t="s">
        <v>3036</v>
      </c>
      <c r="F23" t="s">
        <v>3037</v>
      </c>
      <c r="G23" t="s">
        <v>3038</v>
      </c>
      <c r="H23" t="s">
        <v>3039</v>
      </c>
      <c r="J23" s="2944" t="s">
        <v>3273</v>
      </c>
    </row>
    <row r="24" spans="4:10">
      <c r="D24" t="s">
        <v>3040</v>
      </c>
      <c r="E24" t="s">
        <v>3023</v>
      </c>
      <c r="F24">
        <v>6699.42</v>
      </c>
      <c r="H24">
        <v>40530.229999999996</v>
      </c>
      <c r="I24" s="2946">
        <v>0.45</v>
      </c>
    </row>
    <row r="25" spans="4:10">
      <c r="D25" t="s">
        <v>3041</v>
      </c>
      <c r="E25" t="s">
        <v>3023</v>
      </c>
      <c r="F25">
        <v>5469.5</v>
      </c>
      <c r="H25">
        <v>33089.440000000002</v>
      </c>
      <c r="I25" s="2946">
        <v>0.5</v>
      </c>
    </row>
    <row r="26" spans="4:10">
      <c r="D26" t="s">
        <v>3034</v>
      </c>
      <c r="E26" t="s">
        <v>3023</v>
      </c>
      <c r="F26">
        <v>1927.2</v>
      </c>
      <c r="I26" s="2946"/>
    </row>
    <row r="27" spans="4:10">
      <c r="D27" t="s">
        <v>3042</v>
      </c>
      <c r="E27" t="s">
        <v>3023</v>
      </c>
      <c r="F27">
        <v>11126.13</v>
      </c>
      <c r="I27" s="2946"/>
    </row>
    <row r="28" spans="4:10">
      <c r="D28" t="s">
        <v>3043</v>
      </c>
      <c r="E28" t="s">
        <v>3023</v>
      </c>
      <c r="F28">
        <v>11865.49</v>
      </c>
      <c r="I28" s="2950"/>
    </row>
    <row r="29" spans="4:10">
      <c r="D29" t="s">
        <v>3034</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3048</v>
      </c>
      <c r="C3" s="2951" t="s">
        <v>3049</v>
      </c>
      <c r="D3" s="2951" t="s">
        <v>3050</v>
      </c>
      <c r="E3" s="2951" t="s">
        <v>3051</v>
      </c>
      <c r="F3" s="2951" t="s">
        <v>3052</v>
      </c>
      <c r="G3" s="2951" t="s">
        <v>3053</v>
      </c>
      <c r="H3" s="2951" t="s">
        <v>3054</v>
      </c>
      <c r="I3" s="2951" t="s">
        <v>3055</v>
      </c>
      <c r="J3" s="2951" t="s">
        <v>3056</v>
      </c>
      <c r="K3" s="2951" t="s">
        <v>3057</v>
      </c>
      <c r="L3" s="2951"/>
      <c r="M3" s="2951"/>
      <c r="O3" s="2951" t="s">
        <v>3048</v>
      </c>
      <c r="P3" s="2951" t="s">
        <v>3049</v>
      </c>
      <c r="Q3" s="2951" t="s">
        <v>3050</v>
      </c>
      <c r="R3" s="2951" t="s">
        <v>3051</v>
      </c>
      <c r="S3" s="2951" t="s">
        <v>3052</v>
      </c>
      <c r="T3" s="2951" t="s">
        <v>3053</v>
      </c>
      <c r="U3" s="2951" t="s">
        <v>3054</v>
      </c>
      <c r="V3" s="2951" t="s">
        <v>3055</v>
      </c>
      <c r="W3" s="2951" t="s">
        <v>3056</v>
      </c>
      <c r="X3" s="2951" t="s">
        <v>3057</v>
      </c>
    </row>
    <row r="4" spans="1:24" s="2952" customFormat="1">
      <c r="B4" s="2951" t="s">
        <v>3058</v>
      </c>
      <c r="C4" s="2951" t="s">
        <v>3059</v>
      </c>
      <c r="D4" s="2951" t="s">
        <v>3060</v>
      </c>
      <c r="E4" s="2951" t="s">
        <v>3061</v>
      </c>
      <c r="F4" s="2951">
        <v>10535</v>
      </c>
      <c r="G4" s="2951" t="s">
        <v>3062</v>
      </c>
      <c r="H4" s="2951" t="s">
        <v>3063</v>
      </c>
      <c r="I4" s="2951">
        <v>3709.86</v>
      </c>
      <c r="J4" s="2951">
        <v>0</v>
      </c>
      <c r="K4" s="2951" t="s">
        <v>3064</v>
      </c>
      <c r="L4" s="2951"/>
      <c r="M4" s="2951"/>
      <c r="O4" s="2951" t="s">
        <v>3170</v>
      </c>
      <c r="P4" s="2951" t="s">
        <v>3059</v>
      </c>
      <c r="Q4" s="2951" t="s">
        <v>3171</v>
      </c>
      <c r="R4" s="2951" t="s">
        <v>3061</v>
      </c>
      <c r="S4" s="2951">
        <v>42719</v>
      </c>
      <c r="T4" s="2951" t="s">
        <v>3172</v>
      </c>
      <c r="U4" s="2951" t="s">
        <v>3063</v>
      </c>
      <c r="V4" s="2951">
        <v>7022.64</v>
      </c>
      <c r="W4" s="2951">
        <v>0</v>
      </c>
      <c r="X4" s="2951" t="s">
        <v>3064</v>
      </c>
    </row>
    <row r="5" spans="1:24" s="2952" customFormat="1">
      <c r="B5" s="2982" t="s">
        <v>3334</v>
      </c>
      <c r="C5" s="2951" t="s">
        <v>3059</v>
      </c>
      <c r="D5" s="2951" t="s">
        <v>3060</v>
      </c>
      <c r="E5" s="2951" t="s">
        <v>3061</v>
      </c>
      <c r="F5" s="2951">
        <v>6783</v>
      </c>
      <c r="G5" s="2951" t="s">
        <v>3066</v>
      </c>
      <c r="H5" s="2951" t="s">
        <v>3067</v>
      </c>
      <c r="I5" s="2951">
        <v>4140.3500000000004</v>
      </c>
      <c r="J5" s="2951">
        <v>0</v>
      </c>
      <c r="K5" s="2951" t="s">
        <v>3068</v>
      </c>
      <c r="L5" s="2951"/>
      <c r="M5" s="2951"/>
      <c r="O5" s="2951" t="s">
        <v>3173</v>
      </c>
      <c r="P5" s="2951" t="s">
        <v>3059</v>
      </c>
      <c r="Q5" s="2951" t="s">
        <v>3174</v>
      </c>
      <c r="R5" s="2951" t="s">
        <v>3061</v>
      </c>
      <c r="S5" s="2951">
        <v>17280</v>
      </c>
      <c r="T5" s="2951" t="s">
        <v>3175</v>
      </c>
      <c r="U5" s="2951" t="s">
        <v>3176</v>
      </c>
      <c r="V5" s="2951">
        <v>9853.0400000000009</v>
      </c>
      <c r="W5" s="2951">
        <v>31.37</v>
      </c>
      <c r="X5" s="2951" t="s">
        <v>3068</v>
      </c>
    </row>
    <row r="6" spans="1:24" s="2952" customFormat="1">
      <c r="B6" s="2982" t="s">
        <v>3333</v>
      </c>
      <c r="C6" s="2951" t="s">
        <v>3059</v>
      </c>
      <c r="D6" s="2951" t="s">
        <v>3060</v>
      </c>
      <c r="E6" s="2951" t="s">
        <v>3061</v>
      </c>
      <c r="F6" s="2951">
        <v>19944</v>
      </c>
      <c r="G6" s="2951" t="s">
        <v>3069</v>
      </c>
      <c r="H6" s="2951" t="s">
        <v>3070</v>
      </c>
      <c r="I6" s="2951">
        <v>3855.21</v>
      </c>
      <c r="J6" s="2951">
        <v>0</v>
      </c>
      <c r="K6" s="2951" t="s">
        <v>3068</v>
      </c>
      <c r="L6" s="2951"/>
      <c r="M6" s="2951"/>
      <c r="O6" s="2951" t="s">
        <v>3065</v>
      </c>
      <c r="P6" s="2951" t="s">
        <v>3059</v>
      </c>
      <c r="Q6" s="2951" t="s">
        <v>3171</v>
      </c>
      <c r="R6" s="2951" t="s">
        <v>3061</v>
      </c>
      <c r="S6" s="2951">
        <v>5100</v>
      </c>
      <c r="T6" s="2951" t="s">
        <v>3177</v>
      </c>
      <c r="U6" s="2951" t="s">
        <v>3067</v>
      </c>
      <c r="V6" s="2951">
        <v>5062.5</v>
      </c>
      <c r="W6" s="2951">
        <v>0</v>
      </c>
      <c r="X6" s="2951" t="s">
        <v>3068</v>
      </c>
    </row>
    <row r="7" spans="1:24" s="2952" customFormat="1">
      <c r="B7" s="2951" t="s">
        <v>3074</v>
      </c>
      <c r="C7" s="2951" t="s">
        <v>3059</v>
      </c>
      <c r="D7" s="2951" t="s">
        <v>3060</v>
      </c>
      <c r="E7" s="2951" t="s">
        <v>3061</v>
      </c>
      <c r="F7" s="2951">
        <v>33506</v>
      </c>
      <c r="G7" s="2951" t="s">
        <v>3075</v>
      </c>
      <c r="H7" s="2951" t="s">
        <v>3070</v>
      </c>
      <c r="I7" s="2951">
        <v>2385.09</v>
      </c>
      <c r="J7" s="2951">
        <v>0</v>
      </c>
      <c r="K7" s="2951" t="s">
        <v>3068</v>
      </c>
      <c r="L7" s="2951"/>
      <c r="M7" s="2951"/>
      <c r="O7" s="2951" t="s">
        <v>3183</v>
      </c>
      <c r="P7" s="2951" t="s">
        <v>3059</v>
      </c>
      <c r="Q7" s="2951" t="s">
        <v>3171</v>
      </c>
      <c r="R7" s="2951" t="s">
        <v>3061</v>
      </c>
      <c r="S7" s="2951">
        <v>45508</v>
      </c>
      <c r="T7" s="2951" t="s">
        <v>3184</v>
      </c>
      <c r="U7" s="2951" t="s">
        <v>3185</v>
      </c>
      <c r="V7" s="2951">
        <v>4688.05</v>
      </c>
      <c r="W7" s="2951">
        <v>0</v>
      </c>
      <c r="X7" s="2951" t="s">
        <v>3083</v>
      </c>
    </row>
    <row r="8" spans="1:24" s="2952" customFormat="1">
      <c r="A8" s="2983" t="s">
        <v>3338</v>
      </c>
      <c r="B8" s="2948" t="s">
        <v>3073</v>
      </c>
      <c r="C8" s="2948" t="s">
        <v>3059</v>
      </c>
      <c r="D8" s="2948" t="s">
        <v>3060</v>
      </c>
      <c r="E8" s="2948" t="s">
        <v>3061</v>
      </c>
      <c r="F8" s="2948">
        <v>67017</v>
      </c>
      <c r="G8" s="2948" t="s">
        <v>3072</v>
      </c>
      <c r="H8" s="2948" t="s">
        <v>3070</v>
      </c>
      <c r="I8" s="2948">
        <v>1778.19</v>
      </c>
      <c r="J8" s="2948">
        <v>0</v>
      </c>
      <c r="K8" s="2948" t="s">
        <v>3068</v>
      </c>
      <c r="L8" s="2948"/>
      <c r="M8" s="2951"/>
      <c r="O8" s="2951" t="s">
        <v>3180</v>
      </c>
      <c r="P8" s="2951" t="s">
        <v>3059</v>
      </c>
      <c r="Q8" s="2951" t="s">
        <v>3171</v>
      </c>
      <c r="R8" s="2951" t="s">
        <v>3061</v>
      </c>
      <c r="S8" s="2951">
        <v>26376</v>
      </c>
      <c r="T8" s="2951" t="s">
        <v>3181</v>
      </c>
      <c r="U8" s="2951" t="s">
        <v>3182</v>
      </c>
      <c r="V8" s="2951">
        <v>11666.23</v>
      </c>
      <c r="W8" s="2951">
        <v>0</v>
      </c>
      <c r="X8" s="2951" t="s">
        <v>3068</v>
      </c>
    </row>
    <row r="9" spans="1:24" s="2952" customFormat="1">
      <c r="A9" s="2983" t="s">
        <v>3339</v>
      </c>
      <c r="B9" s="2948" t="s">
        <v>3071</v>
      </c>
      <c r="C9" s="2948" t="s">
        <v>3059</v>
      </c>
      <c r="D9" s="2948" t="s">
        <v>3060</v>
      </c>
      <c r="E9" s="2948" t="s">
        <v>3061</v>
      </c>
      <c r="F9" s="2948">
        <v>68682</v>
      </c>
      <c r="G9" s="2948" t="s">
        <v>3072</v>
      </c>
      <c r="H9" s="2948" t="s">
        <v>3070</v>
      </c>
      <c r="I9" s="2948">
        <v>1772.73</v>
      </c>
      <c r="J9" s="2948">
        <v>0</v>
      </c>
      <c r="K9" s="2948" t="s">
        <v>3068</v>
      </c>
      <c r="L9" s="2948"/>
      <c r="M9" s="2951"/>
      <c r="O9" s="2951" t="s">
        <v>3178</v>
      </c>
      <c r="P9" s="2951" t="s">
        <v>3059</v>
      </c>
      <c r="Q9" s="2951" t="s">
        <v>3171</v>
      </c>
      <c r="R9" s="2951" t="s">
        <v>3061</v>
      </c>
      <c r="S9" s="2951">
        <v>37827</v>
      </c>
      <c r="T9" s="2951" t="s">
        <v>3179</v>
      </c>
      <c r="U9" s="2951" t="s">
        <v>3070</v>
      </c>
      <c r="V9" s="2951">
        <v>8470.61</v>
      </c>
      <c r="W9" s="2951">
        <v>0</v>
      </c>
      <c r="X9" s="2951" t="s">
        <v>3068</v>
      </c>
    </row>
    <row r="10" spans="1:24" s="2953" customFormat="1">
      <c r="A10" s="2952"/>
      <c r="B10" s="2951" t="s">
        <v>3337</v>
      </c>
      <c r="C10" s="2951" t="s">
        <v>3059</v>
      </c>
      <c r="D10" s="2951" t="s">
        <v>3060</v>
      </c>
      <c r="E10" s="2951" t="s">
        <v>3061</v>
      </c>
      <c r="F10" s="2951">
        <v>15455</v>
      </c>
      <c r="G10" s="2951" t="s">
        <v>3076</v>
      </c>
      <c r="H10" s="2951" t="s">
        <v>3077</v>
      </c>
      <c r="I10" s="2951">
        <v>2350.9</v>
      </c>
      <c r="J10" s="2951">
        <v>0</v>
      </c>
      <c r="K10" s="2951" t="s">
        <v>3068</v>
      </c>
      <c r="L10" s="2951"/>
      <c r="M10" s="2951"/>
      <c r="O10" s="2948" t="s">
        <v>3186</v>
      </c>
      <c r="P10" s="2948" t="s">
        <v>3059</v>
      </c>
      <c r="Q10" s="2948" t="s">
        <v>3171</v>
      </c>
      <c r="R10" s="2948" t="s">
        <v>3061</v>
      </c>
      <c r="S10" s="2948">
        <v>35453</v>
      </c>
      <c r="T10" s="2948" t="s">
        <v>3187</v>
      </c>
      <c r="U10" s="2948" t="s">
        <v>3077</v>
      </c>
      <c r="V10" s="2948">
        <v>5210.34</v>
      </c>
      <c r="W10" s="2948">
        <v>0</v>
      </c>
      <c r="X10" s="2948" t="s">
        <v>3068</v>
      </c>
    </row>
    <row r="11" spans="1:24" s="2952" customFormat="1">
      <c r="B11" s="2951" t="s">
        <v>3078</v>
      </c>
      <c r="C11" s="2951" t="s">
        <v>3059</v>
      </c>
      <c r="D11" s="2951" t="s">
        <v>3060</v>
      </c>
      <c r="E11" s="2951" t="s">
        <v>3061</v>
      </c>
      <c r="F11" s="2951">
        <v>2390</v>
      </c>
      <c r="G11" s="2951" t="s">
        <v>3079</v>
      </c>
      <c r="H11" s="2951" t="s">
        <v>3080</v>
      </c>
      <c r="I11" s="2951">
        <v>1326.94</v>
      </c>
      <c r="J11" s="2951">
        <v>0</v>
      </c>
      <c r="K11" s="2951" t="s">
        <v>3068</v>
      </c>
      <c r="L11" s="2951"/>
      <c r="M11" s="2951"/>
      <c r="O11" s="2951" t="s">
        <v>3188</v>
      </c>
      <c r="P11" s="2951" t="s">
        <v>3059</v>
      </c>
      <c r="Q11" s="2951" t="s">
        <v>3171</v>
      </c>
      <c r="R11" s="2951" t="s">
        <v>3061</v>
      </c>
      <c r="S11" s="2951">
        <v>16238</v>
      </c>
      <c r="T11" s="2951" t="s">
        <v>3189</v>
      </c>
      <c r="U11" s="2951" t="s">
        <v>3077</v>
      </c>
      <c r="V11" s="2951">
        <v>5475.97</v>
      </c>
      <c r="W11" s="2951">
        <v>0</v>
      </c>
      <c r="X11" s="2951" t="s">
        <v>3068</v>
      </c>
    </row>
    <row r="12" spans="1:24" s="2953" customFormat="1">
      <c r="A12" s="2983" t="s">
        <v>3340</v>
      </c>
      <c r="B12" s="2948" t="s">
        <v>3336</v>
      </c>
      <c r="C12" s="2948" t="s">
        <v>3059</v>
      </c>
      <c r="D12" s="2948" t="s">
        <v>3060</v>
      </c>
      <c r="E12" s="2948" t="s">
        <v>3061</v>
      </c>
      <c r="F12" s="2948">
        <v>13668</v>
      </c>
      <c r="G12" s="2948" t="s">
        <v>3081</v>
      </c>
      <c r="H12" s="2948" t="s">
        <v>3082</v>
      </c>
      <c r="I12" s="2948">
        <v>2177.88</v>
      </c>
      <c r="J12" s="2948">
        <v>4.07</v>
      </c>
      <c r="K12" s="2948" t="s">
        <v>3083</v>
      </c>
      <c r="L12" s="2948"/>
      <c r="M12" s="2951"/>
      <c r="O12" s="2948" t="s">
        <v>3190</v>
      </c>
      <c r="P12" s="2948" t="s">
        <v>3059</v>
      </c>
      <c r="Q12" s="2948" t="s">
        <v>3171</v>
      </c>
      <c r="R12" s="2948" t="s">
        <v>3061</v>
      </c>
      <c r="S12" s="2948">
        <v>31110</v>
      </c>
      <c r="T12" s="2948" t="s">
        <v>3191</v>
      </c>
      <c r="U12" s="2948" t="s">
        <v>3192</v>
      </c>
      <c r="V12" s="2948">
        <v>9803.92</v>
      </c>
      <c r="W12" s="2948">
        <v>114.26</v>
      </c>
      <c r="X12" s="2948" t="s">
        <v>3068</v>
      </c>
    </row>
    <row r="13" spans="1:24">
      <c r="A13" s="2952"/>
      <c r="B13" s="2951" t="s">
        <v>3084</v>
      </c>
      <c r="C13" s="2951" t="s">
        <v>3059</v>
      </c>
      <c r="D13" s="2951" t="s">
        <v>3060</v>
      </c>
      <c r="E13" s="2951" t="s">
        <v>3061</v>
      </c>
      <c r="F13" s="2951">
        <v>7594</v>
      </c>
      <c r="G13" s="2951" t="s">
        <v>3085</v>
      </c>
      <c r="H13" s="2951" t="s">
        <v>3086</v>
      </c>
      <c r="I13" s="2951">
        <v>2934.4</v>
      </c>
      <c r="J13" s="2951">
        <v>0</v>
      </c>
      <c r="K13" s="2951" t="s">
        <v>3068</v>
      </c>
      <c r="L13" s="2951"/>
      <c r="M13" s="2951"/>
      <c r="O13" s="2949" t="s">
        <v>3193</v>
      </c>
      <c r="P13" s="2949" t="s">
        <v>3059</v>
      </c>
      <c r="Q13" s="2949" t="s">
        <v>3171</v>
      </c>
      <c r="R13" s="2949" t="s">
        <v>3061</v>
      </c>
      <c r="S13" s="2949">
        <v>113797</v>
      </c>
      <c r="T13" s="2949" t="s">
        <v>3194</v>
      </c>
      <c r="U13" s="2949" t="s">
        <v>3192</v>
      </c>
      <c r="V13" s="2948">
        <v>9624.48</v>
      </c>
      <c r="W13" s="2948">
        <v>117.33</v>
      </c>
      <c r="X13" s="2949" t="s">
        <v>3083</v>
      </c>
    </row>
    <row r="14" spans="1:24" s="2953" customFormat="1">
      <c r="A14" s="2952"/>
      <c r="B14" s="2951" t="s">
        <v>3335</v>
      </c>
      <c r="C14" s="2951" t="s">
        <v>3059</v>
      </c>
      <c r="D14" s="2951" t="s">
        <v>3060</v>
      </c>
      <c r="E14" s="2951" t="s">
        <v>3061</v>
      </c>
      <c r="F14" s="2951">
        <v>12288</v>
      </c>
      <c r="G14" s="2951" t="s">
        <v>3087</v>
      </c>
      <c r="H14" s="2951" t="s">
        <v>3086</v>
      </c>
      <c r="I14" s="2951">
        <v>2779.05</v>
      </c>
      <c r="J14" s="2951">
        <v>0</v>
      </c>
      <c r="K14" s="2951" t="s">
        <v>3068</v>
      </c>
      <c r="L14" s="2951"/>
      <c r="M14" s="2951"/>
      <c r="O14" s="2948" t="s">
        <v>3195</v>
      </c>
      <c r="P14" s="2948" t="s">
        <v>3059</v>
      </c>
      <c r="Q14" s="2948" t="s">
        <v>3171</v>
      </c>
      <c r="R14" s="2948" t="s">
        <v>3061</v>
      </c>
      <c r="S14" s="2948">
        <v>109908</v>
      </c>
      <c r="T14" s="2948" t="s">
        <v>3196</v>
      </c>
      <c r="U14" s="2948" t="s">
        <v>3192</v>
      </c>
      <c r="V14" s="2948">
        <v>10587.37</v>
      </c>
      <c r="W14" s="2948">
        <v>72.540000000000006</v>
      </c>
      <c r="X14" s="2948" t="s">
        <v>3083</v>
      </c>
    </row>
    <row r="15" spans="1:24">
      <c r="A15" s="2952"/>
      <c r="B15" s="2951" t="s">
        <v>3088</v>
      </c>
      <c r="C15" s="2951" t="s">
        <v>3059</v>
      </c>
      <c r="D15" s="2951" t="s">
        <v>3060</v>
      </c>
      <c r="E15" s="2951" t="s">
        <v>3061</v>
      </c>
      <c r="F15" s="2951">
        <v>221428</v>
      </c>
      <c r="G15" s="2951" t="s">
        <v>3089</v>
      </c>
      <c r="H15" s="2951" t="s">
        <v>3090</v>
      </c>
      <c r="I15" s="2951">
        <v>3176.07</v>
      </c>
      <c r="J15" s="2951">
        <v>0</v>
      </c>
      <c r="K15" s="2951" t="s">
        <v>3068</v>
      </c>
      <c r="L15" s="2951"/>
      <c r="M15" s="2951"/>
      <c r="O15" s="2949" t="s">
        <v>3197</v>
      </c>
      <c r="P15" s="2949" t="s">
        <v>3059</v>
      </c>
      <c r="Q15" s="2949" t="s">
        <v>3171</v>
      </c>
      <c r="R15" s="2949" t="s">
        <v>3061</v>
      </c>
      <c r="S15" s="2949">
        <v>45562</v>
      </c>
      <c r="T15" s="2949" t="s">
        <v>3198</v>
      </c>
      <c r="U15" s="2949" t="s">
        <v>3192</v>
      </c>
      <c r="V15" s="2948">
        <v>11385.57</v>
      </c>
      <c r="W15" s="2948">
        <v>102.39</v>
      </c>
      <c r="X15" s="2949" t="s">
        <v>3083</v>
      </c>
    </row>
    <row r="16" spans="1:24">
      <c r="A16" s="2952"/>
      <c r="B16" s="2951" t="s">
        <v>3091</v>
      </c>
      <c r="C16" s="2951" t="s">
        <v>3059</v>
      </c>
      <c r="D16" s="2951" t="s">
        <v>3060</v>
      </c>
      <c r="E16" s="2951" t="s">
        <v>3061</v>
      </c>
      <c r="F16" s="2951">
        <v>51052</v>
      </c>
      <c r="G16" s="2951" t="s">
        <v>3092</v>
      </c>
      <c r="H16" s="2951" t="s">
        <v>3093</v>
      </c>
      <c r="I16" s="2951">
        <v>1650.03</v>
      </c>
      <c r="J16" s="2951">
        <v>0</v>
      </c>
      <c r="K16" s="2951" t="s">
        <v>3068</v>
      </c>
      <c r="L16" s="2951"/>
      <c r="M16" s="2951"/>
      <c r="O16" s="2949" t="s">
        <v>3199</v>
      </c>
      <c r="P16" s="2949" t="s">
        <v>3059</v>
      </c>
      <c r="Q16" s="2949" t="s">
        <v>3171</v>
      </c>
      <c r="R16" s="2949" t="s">
        <v>3061</v>
      </c>
      <c r="S16" s="2949">
        <v>50625</v>
      </c>
      <c r="T16" s="2949" t="s">
        <v>3200</v>
      </c>
      <c r="U16" s="2949" t="s">
        <v>3080</v>
      </c>
      <c r="V16" s="2948">
        <v>9572.64</v>
      </c>
      <c r="W16" s="2948">
        <v>61.54</v>
      </c>
      <c r="X16" s="2949" t="s">
        <v>3108</v>
      </c>
    </row>
    <row r="17" spans="2:24">
      <c r="B17" s="2947" t="s">
        <v>3098</v>
      </c>
      <c r="C17" s="2947" t="s">
        <v>3059</v>
      </c>
      <c r="D17" s="2947" t="s">
        <v>3060</v>
      </c>
      <c r="E17" s="2947" t="s">
        <v>3061</v>
      </c>
      <c r="F17" s="2947">
        <v>14092</v>
      </c>
      <c r="G17" s="2947" t="s">
        <v>3099</v>
      </c>
      <c r="H17" s="2947" t="s">
        <v>3095</v>
      </c>
      <c r="I17" s="2947">
        <v>2727.53</v>
      </c>
      <c r="J17" s="2947">
        <v>0</v>
      </c>
      <c r="K17" s="2947" t="s">
        <v>3068</v>
      </c>
      <c r="L17" s="2949"/>
      <c r="M17" s="2949"/>
      <c r="O17" s="2949" t="s">
        <v>3206</v>
      </c>
      <c r="P17" s="2949" t="s">
        <v>3059</v>
      </c>
      <c r="Q17" s="2949" t="s">
        <v>3171</v>
      </c>
      <c r="R17" s="2949" t="s">
        <v>3061</v>
      </c>
      <c r="S17" s="2949">
        <v>86053</v>
      </c>
      <c r="T17" s="2949" t="s">
        <v>3207</v>
      </c>
      <c r="U17" s="2949" t="s">
        <v>3208</v>
      </c>
      <c r="V17" s="2949">
        <v>1344.82</v>
      </c>
      <c r="W17" s="2949">
        <v>0</v>
      </c>
      <c r="X17" s="2949" t="s">
        <v>3108</v>
      </c>
    </row>
    <row r="18" spans="2:24">
      <c r="B18" s="2947" t="s">
        <v>3096</v>
      </c>
      <c r="C18" s="2947" t="s">
        <v>3059</v>
      </c>
      <c r="D18" s="2947" t="s">
        <v>3060</v>
      </c>
      <c r="E18" s="2947" t="s">
        <v>3061</v>
      </c>
      <c r="F18" s="2947">
        <v>48787</v>
      </c>
      <c r="G18" s="2947" t="s">
        <v>3097</v>
      </c>
      <c r="H18" s="2947" t="s">
        <v>3095</v>
      </c>
      <c r="I18" s="2947">
        <v>2727.25</v>
      </c>
      <c r="J18" s="2947">
        <v>0</v>
      </c>
      <c r="K18" s="2947" t="s">
        <v>3068</v>
      </c>
      <c r="L18" s="2949"/>
      <c r="M18" s="2949"/>
      <c r="O18" s="2949" t="s">
        <v>3204</v>
      </c>
      <c r="P18" s="2949" t="s">
        <v>3059</v>
      </c>
      <c r="Q18" s="2949" t="s">
        <v>3171</v>
      </c>
      <c r="R18" s="2949" t="s">
        <v>3061</v>
      </c>
      <c r="S18" s="2949">
        <v>24864</v>
      </c>
      <c r="T18" s="2949" t="s">
        <v>3205</v>
      </c>
      <c r="U18" s="2949" t="s">
        <v>3203</v>
      </c>
      <c r="V18" s="2948">
        <v>9872.42</v>
      </c>
      <c r="W18" s="2948">
        <v>161.54</v>
      </c>
      <c r="X18" s="2949" t="s">
        <v>3068</v>
      </c>
    </row>
    <row r="19" spans="2:24">
      <c r="B19" s="2947" t="s">
        <v>3094</v>
      </c>
      <c r="C19" s="2947" t="s">
        <v>3059</v>
      </c>
      <c r="D19" s="2947" t="s">
        <v>3060</v>
      </c>
      <c r="E19" s="2947" t="s">
        <v>3061</v>
      </c>
      <c r="F19" s="2947">
        <v>39107</v>
      </c>
      <c r="G19" s="2947" t="s">
        <v>3092</v>
      </c>
      <c r="H19" s="2947" t="s">
        <v>3095</v>
      </c>
      <c r="I19" s="2947">
        <v>1598.95</v>
      </c>
      <c r="J19" s="2947">
        <v>0</v>
      </c>
      <c r="K19" s="2947" t="s">
        <v>3068</v>
      </c>
      <c r="L19" s="2949"/>
      <c r="M19" s="2949"/>
      <c r="O19" s="2949" t="s">
        <v>3201</v>
      </c>
      <c r="P19" s="2949" t="s">
        <v>3059</v>
      </c>
      <c r="Q19" s="2949" t="s">
        <v>3171</v>
      </c>
      <c r="R19" s="2949" t="s">
        <v>3061</v>
      </c>
      <c r="S19" s="2949">
        <v>30682</v>
      </c>
      <c r="T19" s="2949" t="s">
        <v>3202</v>
      </c>
      <c r="U19" s="2949" t="s">
        <v>3203</v>
      </c>
      <c r="V19" s="2949">
        <v>2432.2600000000002</v>
      </c>
      <c r="W19" s="2949">
        <v>17.61</v>
      </c>
      <c r="X19" s="2949" t="s">
        <v>3068</v>
      </c>
    </row>
    <row r="20" spans="2:24">
      <c r="B20" s="2947" t="s">
        <v>3103</v>
      </c>
      <c r="C20" s="2947" t="s">
        <v>3059</v>
      </c>
      <c r="D20" s="2947" t="s">
        <v>3060</v>
      </c>
      <c r="E20" s="2947" t="s">
        <v>3061</v>
      </c>
      <c r="F20" s="2947">
        <v>3275</v>
      </c>
      <c r="G20" s="2947" t="s">
        <v>3104</v>
      </c>
      <c r="H20" s="2947" t="s">
        <v>3102</v>
      </c>
      <c r="I20" s="2947">
        <v>89852.41</v>
      </c>
      <c r="J20" s="2947">
        <v>124.75</v>
      </c>
      <c r="K20" s="2947" t="s">
        <v>3083</v>
      </c>
      <c r="L20" s="2949"/>
      <c r="M20" s="2949"/>
      <c r="O20" s="2949" t="s">
        <v>3211</v>
      </c>
      <c r="P20" s="2949" t="s">
        <v>3059</v>
      </c>
      <c r="Q20" s="2949" t="s">
        <v>3171</v>
      </c>
      <c r="R20" s="2949" t="s">
        <v>3061</v>
      </c>
      <c r="S20" s="2949">
        <v>162429</v>
      </c>
      <c r="T20" s="2949" t="s">
        <v>3212</v>
      </c>
      <c r="U20" s="2949" t="s">
        <v>3208</v>
      </c>
      <c r="V20" s="2949">
        <v>1339.28</v>
      </c>
      <c r="W20" s="2949">
        <v>0</v>
      </c>
      <c r="X20" s="2949" t="s">
        <v>3108</v>
      </c>
    </row>
    <row r="21" spans="2:24">
      <c r="B21" s="2947" t="s">
        <v>3100</v>
      </c>
      <c r="C21" s="2947" t="s">
        <v>3059</v>
      </c>
      <c r="D21" s="2947" t="s">
        <v>3060</v>
      </c>
      <c r="E21" s="2947" t="s">
        <v>3061</v>
      </c>
      <c r="F21" s="2947">
        <v>7000</v>
      </c>
      <c r="G21" s="2947" t="s">
        <v>3101</v>
      </c>
      <c r="H21" s="2947" t="s">
        <v>3102</v>
      </c>
      <c r="I21" s="2947">
        <v>82619.05</v>
      </c>
      <c r="J21" s="2947">
        <v>10.16</v>
      </c>
      <c r="K21" s="2947" t="s">
        <v>3068</v>
      </c>
      <c r="L21" s="2949"/>
      <c r="M21" s="2949"/>
      <c r="O21" s="2949" t="s">
        <v>3209</v>
      </c>
      <c r="P21" s="2949" t="s">
        <v>3059</v>
      </c>
      <c r="Q21" s="2949" t="s">
        <v>3171</v>
      </c>
      <c r="R21" s="2949" t="s">
        <v>3061</v>
      </c>
      <c r="S21" s="2949">
        <v>68122</v>
      </c>
      <c r="T21" s="2949" t="s">
        <v>3210</v>
      </c>
      <c r="U21" s="2949" t="s">
        <v>3208</v>
      </c>
      <c r="V21" s="2949">
        <v>1306.45</v>
      </c>
      <c r="W21" s="2949">
        <v>0</v>
      </c>
      <c r="X21" s="2949" t="s">
        <v>3108</v>
      </c>
    </row>
    <row r="22" spans="2:24">
      <c r="B22" s="2947" t="s">
        <v>3105</v>
      </c>
      <c r="C22" s="2947" t="s">
        <v>3059</v>
      </c>
      <c r="D22" s="2947" t="s">
        <v>3060</v>
      </c>
      <c r="E22" s="2947" t="s">
        <v>3061</v>
      </c>
      <c r="F22" s="2947">
        <v>23307</v>
      </c>
      <c r="G22" s="2947" t="s">
        <v>3106</v>
      </c>
      <c r="H22" s="2947" t="s">
        <v>3107</v>
      </c>
      <c r="I22" s="2947">
        <v>3503.94</v>
      </c>
      <c r="J22" s="2947">
        <v>0</v>
      </c>
      <c r="K22" s="2947" t="s">
        <v>3108</v>
      </c>
      <c r="L22" s="2949"/>
      <c r="M22" s="2949"/>
      <c r="O22" s="2949" t="s">
        <v>3116</v>
      </c>
      <c r="P22" s="2949" t="s">
        <v>3059</v>
      </c>
      <c r="Q22" s="2949" t="s">
        <v>3171</v>
      </c>
      <c r="R22" s="2949" t="s">
        <v>3061</v>
      </c>
      <c r="S22" s="2949">
        <v>87158</v>
      </c>
      <c r="T22" s="2949" t="s">
        <v>3213</v>
      </c>
      <c r="U22" s="2949" t="s">
        <v>3214</v>
      </c>
      <c r="V22" s="2949">
        <v>2034.42</v>
      </c>
      <c r="W22" s="2949">
        <v>0</v>
      </c>
      <c r="X22" s="2949" t="s">
        <v>3083</v>
      </c>
    </row>
    <row r="23" spans="2:24">
      <c r="B23" s="2947" t="s">
        <v>3109</v>
      </c>
      <c r="C23" s="2947" t="s">
        <v>3059</v>
      </c>
      <c r="D23" s="2947" t="s">
        <v>3060</v>
      </c>
      <c r="E23" s="2947" t="s">
        <v>3061</v>
      </c>
      <c r="F23" s="2947">
        <v>23562</v>
      </c>
      <c r="G23" s="2947" t="s">
        <v>3110</v>
      </c>
      <c r="H23" s="2947" t="s">
        <v>3111</v>
      </c>
      <c r="I23" s="2947">
        <v>1828.7</v>
      </c>
      <c r="J23" s="2947">
        <v>0</v>
      </c>
      <c r="K23" s="2947" t="s">
        <v>3068</v>
      </c>
      <c r="L23" s="2949"/>
      <c r="M23" s="2949"/>
      <c r="O23" s="2949" t="s">
        <v>3215</v>
      </c>
      <c r="P23" s="2949" t="s">
        <v>3059</v>
      </c>
      <c r="Q23" s="2949" t="s">
        <v>3171</v>
      </c>
      <c r="R23" s="2949" t="s">
        <v>3061</v>
      </c>
      <c r="S23" s="2949">
        <v>16791</v>
      </c>
      <c r="T23" s="2949" t="s">
        <v>3216</v>
      </c>
      <c r="U23" s="2949" t="s">
        <v>3217</v>
      </c>
      <c r="V23" s="2949">
        <v>1311.75</v>
      </c>
      <c r="W23" s="2949">
        <v>0</v>
      </c>
      <c r="X23" s="2949" t="s">
        <v>3068</v>
      </c>
    </row>
    <row r="24" spans="2:24">
      <c r="B24" s="2947" t="s">
        <v>3114</v>
      </c>
      <c r="C24" s="2947" t="s">
        <v>3059</v>
      </c>
      <c r="D24" s="2947" t="s">
        <v>3060</v>
      </c>
      <c r="E24" s="2947" t="s">
        <v>3061</v>
      </c>
      <c r="F24" s="2947">
        <v>21109</v>
      </c>
      <c r="G24" s="2947" t="s">
        <v>3115</v>
      </c>
      <c r="H24" s="2947" t="s">
        <v>3111</v>
      </c>
      <c r="I24" s="2947">
        <v>1287.2</v>
      </c>
      <c r="J24" s="2947">
        <v>0</v>
      </c>
      <c r="K24" s="2947" t="s">
        <v>3068</v>
      </c>
      <c r="L24" s="2949"/>
      <c r="M24" s="2949"/>
      <c r="O24" s="2949" t="s">
        <v>3220</v>
      </c>
      <c r="P24" s="2949" t="s">
        <v>3059</v>
      </c>
      <c r="Q24" s="2949" t="s">
        <v>3171</v>
      </c>
      <c r="R24" s="2949" t="s">
        <v>3061</v>
      </c>
      <c r="S24" s="2949">
        <v>42105</v>
      </c>
      <c r="T24" s="2949" t="s">
        <v>3221</v>
      </c>
      <c r="U24" s="2949" t="s">
        <v>3111</v>
      </c>
      <c r="V24" s="2949">
        <v>1842.15</v>
      </c>
      <c r="W24" s="2949">
        <v>0</v>
      </c>
      <c r="X24" s="2949" t="s">
        <v>3068</v>
      </c>
    </row>
    <row r="25" spans="2:24">
      <c r="B25" s="2947" t="s">
        <v>3112</v>
      </c>
      <c r="C25" s="2947" t="s">
        <v>3059</v>
      </c>
      <c r="D25" s="2947" t="s">
        <v>3060</v>
      </c>
      <c r="E25" s="2947" t="s">
        <v>3061</v>
      </c>
      <c r="F25" s="2947">
        <v>28641</v>
      </c>
      <c r="G25" s="2947" t="s">
        <v>3113</v>
      </c>
      <c r="H25" s="2947" t="s">
        <v>3111</v>
      </c>
      <c r="I25" s="2947">
        <v>1250.4100000000001</v>
      </c>
      <c r="J25" s="2947">
        <v>0</v>
      </c>
      <c r="K25" s="2947" t="s">
        <v>3068</v>
      </c>
      <c r="L25" s="2949"/>
      <c r="M25" s="2949"/>
      <c r="O25" s="2949" t="s">
        <v>3218</v>
      </c>
      <c r="P25" s="2949" t="s">
        <v>3059</v>
      </c>
      <c r="Q25" s="2949" t="s">
        <v>3171</v>
      </c>
      <c r="R25" s="2949" t="s">
        <v>3061</v>
      </c>
      <c r="S25" s="2949">
        <v>21848</v>
      </c>
      <c r="T25" s="2949" t="s">
        <v>3219</v>
      </c>
      <c r="U25" s="2949" t="s">
        <v>3217</v>
      </c>
      <c r="V25" s="2949">
        <v>1349.65</v>
      </c>
      <c r="W25" s="2949">
        <v>0</v>
      </c>
      <c r="X25" s="2949" t="s">
        <v>3068</v>
      </c>
    </row>
    <row r="26" spans="2:24">
      <c r="B26" s="2947" t="s">
        <v>3122</v>
      </c>
      <c r="C26" s="2947" t="s">
        <v>3059</v>
      </c>
      <c r="D26" s="2947" t="s">
        <v>3060</v>
      </c>
      <c r="E26" s="2947" t="s">
        <v>3061</v>
      </c>
      <c r="F26" s="2947">
        <v>66724</v>
      </c>
      <c r="G26" s="2947" t="s">
        <v>3123</v>
      </c>
      <c r="H26" s="2947" t="s">
        <v>3118</v>
      </c>
      <c r="I26" s="2947">
        <v>1499.99</v>
      </c>
      <c r="J26" s="2947">
        <v>0</v>
      </c>
      <c r="K26" s="2947" t="s">
        <v>3083</v>
      </c>
      <c r="L26" s="2949"/>
      <c r="M26" s="2949"/>
      <c r="O26" s="2949" t="s">
        <v>3229</v>
      </c>
      <c r="P26" s="2949" t="s">
        <v>3059</v>
      </c>
      <c r="Q26" s="2949" t="s">
        <v>3171</v>
      </c>
      <c r="R26" s="2949" t="s">
        <v>3061</v>
      </c>
      <c r="S26" s="2949">
        <v>34884.800000000003</v>
      </c>
      <c r="T26" s="2949" t="s">
        <v>3230</v>
      </c>
      <c r="U26" s="2949" t="s">
        <v>3231</v>
      </c>
      <c r="V26" s="2949">
        <v>1439.33</v>
      </c>
      <c r="W26" s="2949" t="s">
        <v>1323</v>
      </c>
      <c r="X26" s="2949" t="s">
        <v>3068</v>
      </c>
    </row>
    <row r="27" spans="2:24">
      <c r="B27" s="2947" t="s">
        <v>3122</v>
      </c>
      <c r="C27" s="2947" t="s">
        <v>3059</v>
      </c>
      <c r="D27" s="2947" t="s">
        <v>3060</v>
      </c>
      <c r="E27" s="2947" t="s">
        <v>3061</v>
      </c>
      <c r="F27" s="2947">
        <v>67899</v>
      </c>
      <c r="G27" s="2947" t="s">
        <v>3124</v>
      </c>
      <c r="H27" s="2947" t="s">
        <v>3118</v>
      </c>
      <c r="I27" s="2947">
        <v>1485.83</v>
      </c>
      <c r="J27" s="2947">
        <v>0</v>
      </c>
      <c r="K27" s="2947" t="s">
        <v>3083</v>
      </c>
      <c r="L27" s="2949"/>
      <c r="M27" s="2949"/>
      <c r="O27" s="2949" t="s">
        <v>3232</v>
      </c>
      <c r="P27" s="2949" t="s">
        <v>3059</v>
      </c>
      <c r="Q27" s="2949" t="s">
        <v>3171</v>
      </c>
      <c r="R27" s="2949" t="s">
        <v>3061</v>
      </c>
      <c r="S27" s="2949">
        <v>47330</v>
      </c>
      <c r="T27" s="2949" t="s">
        <v>3233</v>
      </c>
      <c r="U27" s="2949" t="s">
        <v>3231</v>
      </c>
      <c r="V27" s="2949">
        <v>1677.93</v>
      </c>
      <c r="W27" s="2949" t="s">
        <v>1323</v>
      </c>
      <c r="X27" s="2949" t="s">
        <v>3068</v>
      </c>
    </row>
    <row r="28" spans="2:24">
      <c r="B28" s="2947" t="s">
        <v>3120</v>
      </c>
      <c r="C28" s="2947" t="s">
        <v>3059</v>
      </c>
      <c r="D28" s="2947" t="s">
        <v>3060</v>
      </c>
      <c r="E28" s="2947" t="s">
        <v>3061</v>
      </c>
      <c r="F28" s="2947">
        <v>18932.099999999999</v>
      </c>
      <c r="G28" s="2947" t="s">
        <v>3121</v>
      </c>
      <c r="H28" s="2947" t="s">
        <v>3118</v>
      </c>
      <c r="I28" s="2947">
        <v>1263.48</v>
      </c>
      <c r="J28" s="2947">
        <v>0</v>
      </c>
      <c r="K28" s="2947" t="s">
        <v>3064</v>
      </c>
      <c r="L28" s="2949"/>
      <c r="M28" s="2949"/>
      <c r="O28" s="2949" t="s">
        <v>3226</v>
      </c>
      <c r="P28" s="2949" t="s">
        <v>3059</v>
      </c>
      <c r="Q28" s="2949" t="s">
        <v>3171</v>
      </c>
      <c r="R28" s="2949" t="s">
        <v>3061</v>
      </c>
      <c r="S28" s="2949">
        <v>48763</v>
      </c>
      <c r="T28" s="2949" t="s">
        <v>3227</v>
      </c>
      <c r="U28" s="2949" t="s">
        <v>3228</v>
      </c>
      <c r="V28" s="2949">
        <v>2398.5300000000002</v>
      </c>
      <c r="W28" s="2949">
        <v>0</v>
      </c>
      <c r="X28" s="2949" t="s">
        <v>3064</v>
      </c>
    </row>
    <row r="29" spans="2:24">
      <c r="B29" s="2947" t="s">
        <v>3119</v>
      </c>
      <c r="C29" s="2947" t="s">
        <v>3059</v>
      </c>
      <c r="D29" s="2947" t="s">
        <v>3060</v>
      </c>
      <c r="E29" s="2947" t="s">
        <v>3061</v>
      </c>
      <c r="F29" s="2947">
        <v>36134</v>
      </c>
      <c r="G29" s="2947" t="s">
        <v>3110</v>
      </c>
      <c r="H29" s="2947" t="s">
        <v>3118</v>
      </c>
      <c r="I29" s="2947">
        <v>1227.25</v>
      </c>
      <c r="J29" s="2947">
        <v>0</v>
      </c>
      <c r="K29" s="2947" t="s">
        <v>3068</v>
      </c>
      <c r="L29" s="2949"/>
      <c r="M29" s="2949"/>
      <c r="O29" s="2949" t="s">
        <v>3224</v>
      </c>
      <c r="P29" s="2949" t="s">
        <v>3059</v>
      </c>
      <c r="Q29" s="2949" t="s">
        <v>3171</v>
      </c>
      <c r="R29" s="2949" t="s">
        <v>3061</v>
      </c>
      <c r="S29" s="2949">
        <v>11706</v>
      </c>
      <c r="T29" s="2949" t="s">
        <v>3225</v>
      </c>
      <c r="U29" s="2949" t="s">
        <v>3111</v>
      </c>
      <c r="V29" s="2949">
        <v>1620.47</v>
      </c>
      <c r="W29" s="2949">
        <v>0</v>
      </c>
      <c r="X29" s="2949" t="s">
        <v>3068</v>
      </c>
    </row>
    <row r="30" spans="2:24">
      <c r="B30" s="2947" t="s">
        <v>3116</v>
      </c>
      <c r="C30" s="2947" t="s">
        <v>3059</v>
      </c>
      <c r="D30" s="2947" t="s">
        <v>3060</v>
      </c>
      <c r="E30" s="2947" t="s">
        <v>3061</v>
      </c>
      <c r="F30" s="2947">
        <v>19755</v>
      </c>
      <c r="G30" s="2947" t="s">
        <v>3117</v>
      </c>
      <c r="H30" s="2947" t="s">
        <v>3118</v>
      </c>
      <c r="I30" s="2947">
        <v>1057.4100000000001</v>
      </c>
      <c r="J30" s="2947">
        <v>0</v>
      </c>
      <c r="K30" s="2947" t="s">
        <v>3068</v>
      </c>
      <c r="L30" s="2949"/>
      <c r="M30" s="2949"/>
      <c r="O30" s="2949" t="s">
        <v>3222</v>
      </c>
      <c r="P30" s="2949" t="s">
        <v>3059</v>
      </c>
      <c r="Q30" s="2949" t="s">
        <v>3171</v>
      </c>
      <c r="R30" s="2949" t="s">
        <v>3061</v>
      </c>
      <c r="S30" s="2949">
        <v>53389</v>
      </c>
      <c r="T30" s="2949" t="s">
        <v>3223</v>
      </c>
      <c r="U30" s="2949" t="s">
        <v>3111</v>
      </c>
      <c r="V30" s="2949">
        <v>1920.41</v>
      </c>
      <c r="W30" s="2949">
        <v>0</v>
      </c>
      <c r="X30" s="2949" t="s">
        <v>3068</v>
      </c>
    </row>
    <row r="31" spans="2:24">
      <c r="B31" s="2947" t="s">
        <v>3125</v>
      </c>
      <c r="C31" s="2947" t="s">
        <v>3059</v>
      </c>
      <c r="D31" s="2947" t="s">
        <v>3060</v>
      </c>
      <c r="E31" s="2947" t="s">
        <v>3061</v>
      </c>
      <c r="F31" s="2947">
        <v>4835.1000000000004</v>
      </c>
      <c r="G31" s="2947" t="s">
        <v>3126</v>
      </c>
      <c r="H31" s="2947" t="s">
        <v>3127</v>
      </c>
      <c r="I31" s="2947">
        <v>2024.58</v>
      </c>
      <c r="J31" s="2947" t="s">
        <v>1323</v>
      </c>
      <c r="K31" s="2947" t="s">
        <v>3064</v>
      </c>
      <c r="L31" s="2949"/>
      <c r="M31" s="2949"/>
      <c r="O31" s="2949" t="s">
        <v>3229</v>
      </c>
      <c r="P31" s="2949" t="s">
        <v>3059</v>
      </c>
      <c r="Q31" s="2949" t="s">
        <v>3171</v>
      </c>
      <c r="R31" s="2949" t="s">
        <v>3061</v>
      </c>
      <c r="S31" s="2949">
        <v>27950.1</v>
      </c>
      <c r="T31" s="2949" t="s">
        <v>3234</v>
      </c>
      <c r="U31" s="2949" t="s">
        <v>3235</v>
      </c>
      <c r="V31" s="2949">
        <v>1972.99</v>
      </c>
      <c r="W31" s="2949" t="s">
        <v>1323</v>
      </c>
      <c r="X31" s="2949" t="s">
        <v>3068</v>
      </c>
    </row>
    <row r="32" spans="2:24">
      <c r="B32" s="2947" t="s">
        <v>3128</v>
      </c>
      <c r="C32" s="2947" t="s">
        <v>3059</v>
      </c>
      <c r="D32" s="2947" t="s">
        <v>3060</v>
      </c>
      <c r="E32" s="2947" t="s">
        <v>3061</v>
      </c>
      <c r="F32" s="2947">
        <v>49387</v>
      </c>
      <c r="G32" s="2947" t="s">
        <v>3129</v>
      </c>
      <c r="H32" s="2947" t="s">
        <v>3130</v>
      </c>
      <c r="I32" s="2947">
        <v>1674.44</v>
      </c>
      <c r="J32" s="2947" t="s">
        <v>1323</v>
      </c>
      <c r="K32" s="2947" t="s">
        <v>3064</v>
      </c>
      <c r="L32" s="2949"/>
      <c r="M32" s="2949"/>
      <c r="O32" s="2949" t="s">
        <v>3229</v>
      </c>
      <c r="P32" s="2949" t="s">
        <v>3059</v>
      </c>
      <c r="Q32" s="2949" t="s">
        <v>3171</v>
      </c>
      <c r="R32" s="2949" t="s">
        <v>3061</v>
      </c>
      <c r="S32" s="2949">
        <v>22024.400000000001</v>
      </c>
      <c r="T32" s="2949" t="s">
        <v>3236</v>
      </c>
      <c r="U32" s="2949" t="s">
        <v>3235</v>
      </c>
      <c r="V32" s="2949">
        <v>1974.38</v>
      </c>
      <c r="W32" s="2949" t="s">
        <v>1323</v>
      </c>
      <c r="X32" s="2949" t="s">
        <v>3068</v>
      </c>
    </row>
    <row r="33" spans="2:24">
      <c r="B33" s="2947" t="s">
        <v>3131</v>
      </c>
      <c r="C33" s="2947" t="s">
        <v>3059</v>
      </c>
      <c r="D33" s="2947" t="s">
        <v>3060</v>
      </c>
      <c r="E33" s="2947" t="s">
        <v>3061</v>
      </c>
      <c r="F33" s="2947">
        <v>48145</v>
      </c>
      <c r="G33" s="2947" t="s">
        <v>3132</v>
      </c>
      <c r="H33" s="2947" t="s">
        <v>3130</v>
      </c>
      <c r="I33" s="2947">
        <v>1411.75</v>
      </c>
      <c r="J33" s="2947" t="s">
        <v>1323</v>
      </c>
      <c r="K33" s="2947" t="s">
        <v>3064</v>
      </c>
      <c r="L33" s="2949"/>
      <c r="M33" s="2949"/>
      <c r="O33" s="2949" t="s">
        <v>3237</v>
      </c>
      <c r="P33" s="2949" t="s">
        <v>3059</v>
      </c>
      <c r="Q33" s="2949" t="s">
        <v>3171</v>
      </c>
      <c r="R33" s="2949" t="s">
        <v>3061</v>
      </c>
      <c r="S33" s="2949">
        <v>33665.1</v>
      </c>
      <c r="T33" s="2949" t="s">
        <v>3238</v>
      </c>
      <c r="U33" s="2949" t="s">
        <v>3239</v>
      </c>
      <c r="V33" s="2949">
        <v>1841.35</v>
      </c>
      <c r="W33" s="2949" t="s">
        <v>1323</v>
      </c>
      <c r="X33" s="2949" t="s">
        <v>3064</v>
      </c>
    </row>
    <row r="34" spans="2:24">
      <c r="B34" s="2947" t="s">
        <v>3140</v>
      </c>
      <c r="C34" s="2947" t="s">
        <v>3059</v>
      </c>
      <c r="D34" s="2947" t="s">
        <v>3060</v>
      </c>
      <c r="E34" s="2947" t="s">
        <v>3061</v>
      </c>
      <c r="F34" s="2947">
        <v>127226</v>
      </c>
      <c r="G34" s="2947" t="s">
        <v>3141</v>
      </c>
      <c r="H34" s="2947" t="s">
        <v>3135</v>
      </c>
      <c r="I34" s="2947">
        <v>2999.98</v>
      </c>
      <c r="J34" s="2947" t="s">
        <v>1323</v>
      </c>
      <c r="K34" s="2947" t="s">
        <v>3083</v>
      </c>
      <c r="L34" s="2949"/>
      <c r="M34" s="2949"/>
      <c r="O34" s="2949" t="s">
        <v>3249</v>
      </c>
      <c r="P34" s="2949" t="s">
        <v>3059</v>
      </c>
      <c r="Q34" s="2949" t="s">
        <v>3171</v>
      </c>
      <c r="R34" s="2949" t="s">
        <v>3061</v>
      </c>
      <c r="S34" s="2949">
        <v>42245</v>
      </c>
      <c r="T34" s="2949" t="s">
        <v>3247</v>
      </c>
      <c r="U34" s="2949" t="s">
        <v>3248</v>
      </c>
      <c r="V34" s="2949">
        <v>1947.24</v>
      </c>
      <c r="W34" s="2949" t="s">
        <v>1323</v>
      </c>
      <c r="X34" s="2949" t="s">
        <v>3068</v>
      </c>
    </row>
    <row r="35" spans="2:24">
      <c r="B35" s="2947" t="s">
        <v>3139</v>
      </c>
      <c r="C35" s="2947" t="s">
        <v>3059</v>
      </c>
      <c r="D35" s="2947" t="s">
        <v>3060</v>
      </c>
      <c r="E35" s="2947" t="s">
        <v>3061</v>
      </c>
      <c r="F35" s="2947">
        <v>40742</v>
      </c>
      <c r="G35" s="2947" t="s">
        <v>3137</v>
      </c>
      <c r="H35" s="2947" t="s">
        <v>3135</v>
      </c>
      <c r="I35" s="2947">
        <v>1499.99</v>
      </c>
      <c r="J35" s="2947" t="s">
        <v>1323</v>
      </c>
      <c r="K35" s="2947" t="s">
        <v>3068</v>
      </c>
      <c r="L35" s="2949"/>
      <c r="M35" s="2949"/>
      <c r="O35" s="2949" t="s">
        <v>3246</v>
      </c>
      <c r="P35" s="2949" t="s">
        <v>3059</v>
      </c>
      <c r="Q35" s="2949" t="s">
        <v>3171</v>
      </c>
      <c r="R35" s="2949" t="s">
        <v>3061</v>
      </c>
      <c r="S35" s="2949">
        <v>97910</v>
      </c>
      <c r="T35" s="2949" t="s">
        <v>3247</v>
      </c>
      <c r="U35" s="2949" t="s">
        <v>3248</v>
      </c>
      <c r="V35" s="2949">
        <v>1947.26</v>
      </c>
      <c r="W35" s="2949" t="s">
        <v>1323</v>
      </c>
      <c r="X35" s="2949" t="s">
        <v>3068</v>
      </c>
    </row>
    <row r="36" spans="2:24">
      <c r="B36" s="2947" t="s">
        <v>3136</v>
      </c>
      <c r="C36" s="2947" t="s">
        <v>3059</v>
      </c>
      <c r="D36" s="2947" t="s">
        <v>3060</v>
      </c>
      <c r="E36" s="2947" t="s">
        <v>3061</v>
      </c>
      <c r="F36" s="2947">
        <v>49202</v>
      </c>
      <c r="G36" s="2947" t="s">
        <v>3137</v>
      </c>
      <c r="H36" s="2947" t="s">
        <v>3135</v>
      </c>
      <c r="I36" s="2947">
        <v>1499.98</v>
      </c>
      <c r="J36" s="2947" t="s">
        <v>1323</v>
      </c>
      <c r="K36" s="2947" t="s">
        <v>3068</v>
      </c>
      <c r="L36" s="2949"/>
      <c r="M36" s="2949"/>
      <c r="O36" s="2949" t="s">
        <v>3242</v>
      </c>
      <c r="P36" s="2949" t="s">
        <v>3059</v>
      </c>
      <c r="Q36" s="2949" t="s">
        <v>3171</v>
      </c>
      <c r="R36" s="2949" t="s">
        <v>3061</v>
      </c>
      <c r="S36" s="2949">
        <v>199378</v>
      </c>
      <c r="T36" s="2949" t="s">
        <v>3243</v>
      </c>
      <c r="U36" s="2949" t="s">
        <v>3130</v>
      </c>
      <c r="V36" s="2949">
        <v>3068.17</v>
      </c>
      <c r="W36" s="2949" t="s">
        <v>1323</v>
      </c>
      <c r="X36" s="2949" t="s">
        <v>3083</v>
      </c>
    </row>
    <row r="37" spans="2:24">
      <c r="B37" s="2947" t="s">
        <v>3138</v>
      </c>
      <c r="C37" s="2947" t="s">
        <v>3059</v>
      </c>
      <c r="D37" s="2947" t="s">
        <v>3060</v>
      </c>
      <c r="E37" s="2947" t="s">
        <v>3061</v>
      </c>
      <c r="F37" s="2947">
        <v>38933</v>
      </c>
      <c r="G37" s="2947" t="s">
        <v>3134</v>
      </c>
      <c r="H37" s="2947" t="s">
        <v>3135</v>
      </c>
      <c r="I37" s="2947">
        <v>1214.29</v>
      </c>
      <c r="J37" s="2947" t="s">
        <v>1323</v>
      </c>
      <c r="K37" s="2947" t="s">
        <v>3083</v>
      </c>
      <c r="L37" s="2949"/>
      <c r="M37" s="2949"/>
      <c r="O37" s="2949" t="s">
        <v>3244</v>
      </c>
      <c r="P37" s="2949" t="s">
        <v>3059</v>
      </c>
      <c r="Q37" s="2949" t="s">
        <v>3171</v>
      </c>
      <c r="R37" s="2949" t="s">
        <v>3061</v>
      </c>
      <c r="S37" s="2949">
        <v>195590</v>
      </c>
      <c r="T37" s="2949" t="s">
        <v>3245</v>
      </c>
      <c r="U37" s="2949" t="s">
        <v>3130</v>
      </c>
      <c r="V37" s="2949">
        <v>3434.13</v>
      </c>
      <c r="W37" s="2949" t="s">
        <v>1323</v>
      </c>
      <c r="X37" s="2949" t="s">
        <v>3083</v>
      </c>
    </row>
    <row r="38" spans="2:24">
      <c r="B38" s="2947" t="s">
        <v>3133</v>
      </c>
      <c r="C38" s="2947" t="s">
        <v>3059</v>
      </c>
      <c r="D38" s="2947" t="s">
        <v>3060</v>
      </c>
      <c r="E38" s="2947" t="s">
        <v>3061</v>
      </c>
      <c r="F38" s="2947">
        <v>45524</v>
      </c>
      <c r="G38" s="2947" t="s">
        <v>3134</v>
      </c>
      <c r="H38" s="2947" t="s">
        <v>3135</v>
      </c>
      <c r="I38" s="2947">
        <v>1214.28</v>
      </c>
      <c r="J38" s="2947" t="s">
        <v>1323</v>
      </c>
      <c r="K38" s="2947" t="s">
        <v>3068</v>
      </c>
      <c r="L38" s="2949"/>
      <c r="M38" s="2949"/>
      <c r="O38" s="2949" t="s">
        <v>3240</v>
      </c>
      <c r="P38" s="2949" t="s">
        <v>3059</v>
      </c>
      <c r="Q38" s="2949" t="s">
        <v>3171</v>
      </c>
      <c r="R38" s="2949" t="s">
        <v>3061</v>
      </c>
      <c r="S38" s="2949">
        <v>163240</v>
      </c>
      <c r="T38" s="2949" t="s">
        <v>3241</v>
      </c>
      <c r="U38" s="2949" t="s">
        <v>3130</v>
      </c>
      <c r="V38" s="2949">
        <v>1945.95</v>
      </c>
      <c r="W38" s="2949" t="s">
        <v>1323</v>
      </c>
      <c r="X38" s="2949" t="s">
        <v>3083</v>
      </c>
    </row>
    <row r="39" spans="2:24">
      <c r="B39" s="2947" t="s">
        <v>3148</v>
      </c>
      <c r="C39" s="2947" t="s">
        <v>3059</v>
      </c>
      <c r="D39" s="2947" t="s">
        <v>3060</v>
      </c>
      <c r="E39" s="2947" t="s">
        <v>3061</v>
      </c>
      <c r="F39" s="2947">
        <v>15951</v>
      </c>
      <c r="G39" s="2947" t="s">
        <v>3149</v>
      </c>
      <c r="H39" s="2947" t="s">
        <v>3144</v>
      </c>
      <c r="I39" s="2947">
        <v>2113.5700000000002</v>
      </c>
      <c r="J39" s="2947" t="s">
        <v>1323</v>
      </c>
      <c r="K39" s="2947" t="s">
        <v>3068</v>
      </c>
      <c r="L39" s="2949"/>
      <c r="M39" s="2949"/>
      <c r="O39" s="2949" t="s">
        <v>3256</v>
      </c>
      <c r="P39" s="2949" t="s">
        <v>3059</v>
      </c>
      <c r="Q39" s="2949" t="s">
        <v>3171</v>
      </c>
      <c r="R39" s="2949" t="s">
        <v>3061</v>
      </c>
      <c r="S39" s="2949">
        <v>118865</v>
      </c>
      <c r="T39" s="2949" t="s">
        <v>3253</v>
      </c>
      <c r="U39" s="2949" t="s">
        <v>3144</v>
      </c>
      <c r="V39" s="2949">
        <v>1678.68</v>
      </c>
      <c r="W39" s="2949" t="s">
        <v>1323</v>
      </c>
      <c r="X39" s="2949" t="s">
        <v>3083</v>
      </c>
    </row>
    <row r="40" spans="2:24">
      <c r="B40" s="2947" t="s">
        <v>3152</v>
      </c>
      <c r="C40" s="2947" t="s">
        <v>3059</v>
      </c>
      <c r="D40" s="2947" t="s">
        <v>3060</v>
      </c>
      <c r="E40" s="2947" t="s">
        <v>3061</v>
      </c>
      <c r="F40" s="2947">
        <v>24037</v>
      </c>
      <c r="G40" s="2947" t="s">
        <v>3153</v>
      </c>
      <c r="H40" s="2947" t="s">
        <v>3144</v>
      </c>
      <c r="I40" s="2947">
        <v>1227.69</v>
      </c>
      <c r="J40" s="2947" t="s">
        <v>1323</v>
      </c>
      <c r="K40" s="2947" t="s">
        <v>3064</v>
      </c>
      <c r="L40" s="2949"/>
      <c r="M40" s="2949"/>
      <c r="O40" s="2949" t="s">
        <v>3259</v>
      </c>
      <c r="P40" s="2949" t="s">
        <v>3059</v>
      </c>
      <c r="Q40" s="2949" t="s">
        <v>3171</v>
      </c>
      <c r="R40" s="2949" t="s">
        <v>3061</v>
      </c>
      <c r="S40" s="2949">
        <v>114297</v>
      </c>
      <c r="T40" s="2949" t="s">
        <v>3253</v>
      </c>
      <c r="U40" s="2949" t="s">
        <v>3144</v>
      </c>
      <c r="V40" s="2949">
        <v>1645.85</v>
      </c>
      <c r="W40" s="2949" t="s">
        <v>1323</v>
      </c>
      <c r="X40" s="2949" t="s">
        <v>3068</v>
      </c>
    </row>
    <row r="41" spans="2:24">
      <c r="B41" s="2947" t="s">
        <v>3150</v>
      </c>
      <c r="C41" s="2947" t="s">
        <v>3059</v>
      </c>
      <c r="D41" s="2947" t="s">
        <v>3060</v>
      </c>
      <c r="E41" s="2947" t="s">
        <v>3061</v>
      </c>
      <c r="F41" s="2947">
        <v>13665</v>
      </c>
      <c r="G41" s="2947" t="s">
        <v>3151</v>
      </c>
      <c r="H41" s="2947" t="s">
        <v>3144</v>
      </c>
      <c r="I41" s="2947">
        <v>1058.73</v>
      </c>
      <c r="J41" s="2947" t="s">
        <v>1323</v>
      </c>
      <c r="K41" s="2947" t="s">
        <v>3083</v>
      </c>
      <c r="L41" s="2949"/>
      <c r="M41" s="2949"/>
      <c r="O41" s="2949" t="s">
        <v>3257</v>
      </c>
      <c r="P41" s="2949" t="s">
        <v>3059</v>
      </c>
      <c r="Q41" s="2949" t="s">
        <v>3171</v>
      </c>
      <c r="R41" s="2949" t="s">
        <v>3061</v>
      </c>
      <c r="S41" s="2949">
        <v>61605</v>
      </c>
      <c r="T41" s="2949" t="s">
        <v>3258</v>
      </c>
      <c r="U41" s="2949" t="s">
        <v>3144</v>
      </c>
      <c r="V41" s="2949">
        <v>1677.51</v>
      </c>
      <c r="W41" s="2949" t="s">
        <v>1323</v>
      </c>
      <c r="X41" s="2949" t="s">
        <v>3064</v>
      </c>
    </row>
    <row r="42" spans="2:24">
      <c r="B42" s="2947" t="s">
        <v>3142</v>
      </c>
      <c r="C42" s="2947" t="s">
        <v>3059</v>
      </c>
      <c r="D42" s="2947" t="s">
        <v>3060</v>
      </c>
      <c r="E42" s="2947" t="s">
        <v>3061</v>
      </c>
      <c r="F42" s="2947">
        <v>16042</v>
      </c>
      <c r="G42" s="2947" t="s">
        <v>3143</v>
      </c>
      <c r="H42" s="2947" t="s">
        <v>3144</v>
      </c>
      <c r="I42" s="2947">
        <v>1054.6500000000001</v>
      </c>
      <c r="J42" s="2947" t="s">
        <v>1323</v>
      </c>
      <c r="K42" s="2947" t="s">
        <v>3083</v>
      </c>
      <c r="L42" s="2949"/>
      <c r="M42" s="2949"/>
      <c r="O42" s="2949" t="s">
        <v>3250</v>
      </c>
      <c r="P42" s="2949" t="s">
        <v>3059</v>
      </c>
      <c r="Q42" s="2949" t="s">
        <v>3171</v>
      </c>
      <c r="R42" s="2949" t="s">
        <v>3061</v>
      </c>
      <c r="S42" s="2949">
        <v>37130</v>
      </c>
      <c r="T42" s="2949" t="s">
        <v>3251</v>
      </c>
      <c r="U42" s="2949" t="s">
        <v>3144</v>
      </c>
      <c r="V42" s="2949">
        <v>1602.28</v>
      </c>
      <c r="W42" s="2949" t="s">
        <v>1323</v>
      </c>
      <c r="X42" s="2949" t="s">
        <v>3083</v>
      </c>
    </row>
    <row r="43" spans="2:24">
      <c r="B43" s="2947" t="s">
        <v>3145</v>
      </c>
      <c r="C43" s="2947" t="s">
        <v>3059</v>
      </c>
      <c r="D43" s="2947" t="s">
        <v>3060</v>
      </c>
      <c r="E43" s="2947" t="s">
        <v>3061</v>
      </c>
      <c r="F43" s="2947">
        <v>51432</v>
      </c>
      <c r="G43" s="2947" t="s">
        <v>3143</v>
      </c>
      <c r="H43" s="2947" t="s">
        <v>3144</v>
      </c>
      <c r="I43" s="2947">
        <v>1053.0999999999999</v>
      </c>
      <c r="J43" s="2947" t="s">
        <v>1323</v>
      </c>
      <c r="K43" s="2947" t="s">
        <v>3083</v>
      </c>
      <c r="L43" s="2949"/>
      <c r="M43" s="2949"/>
      <c r="O43" s="2949" t="s">
        <v>3252</v>
      </c>
      <c r="P43" s="2949" t="s">
        <v>3059</v>
      </c>
      <c r="Q43" s="2949" t="s">
        <v>3171</v>
      </c>
      <c r="R43" s="2949" t="s">
        <v>3061</v>
      </c>
      <c r="S43" s="2949">
        <v>76624</v>
      </c>
      <c r="T43" s="2949" t="s">
        <v>3253</v>
      </c>
      <c r="U43" s="2949" t="s">
        <v>3144</v>
      </c>
      <c r="V43" s="2949">
        <v>1677.69</v>
      </c>
      <c r="W43" s="2949" t="s">
        <v>1323</v>
      </c>
      <c r="X43" s="2949" t="s">
        <v>3064</v>
      </c>
    </row>
    <row r="44" spans="2:24">
      <c r="B44" s="2947" t="s">
        <v>3154</v>
      </c>
      <c r="C44" s="2947" t="s">
        <v>3059</v>
      </c>
      <c r="D44" s="2947" t="s">
        <v>3060</v>
      </c>
      <c r="E44" s="2947" t="s">
        <v>3061</v>
      </c>
      <c r="F44" s="2947">
        <v>45055</v>
      </c>
      <c r="G44" s="2947" t="s">
        <v>3143</v>
      </c>
      <c r="H44" s="2947" t="s">
        <v>3144</v>
      </c>
      <c r="I44" s="2947">
        <v>1050.6600000000001</v>
      </c>
      <c r="J44" s="2947" t="s">
        <v>1323</v>
      </c>
      <c r="K44" s="2947" t="s">
        <v>3083</v>
      </c>
      <c r="L44" s="2949"/>
      <c r="M44" s="2949"/>
      <c r="O44" s="2949" t="s">
        <v>3260</v>
      </c>
      <c r="P44" s="2949" t="s">
        <v>3059</v>
      </c>
      <c r="Q44" s="2949" t="s">
        <v>3171</v>
      </c>
      <c r="R44" s="2949" t="s">
        <v>3061</v>
      </c>
      <c r="S44" s="2949">
        <v>47381</v>
      </c>
      <c r="T44" s="2949" t="s">
        <v>3253</v>
      </c>
      <c r="U44" s="2949" t="s">
        <v>3144</v>
      </c>
      <c r="V44" s="2949">
        <v>1645.86</v>
      </c>
      <c r="W44" s="2949" t="s">
        <v>1323</v>
      </c>
      <c r="X44" s="2949" t="s">
        <v>3083</v>
      </c>
    </row>
    <row r="45" spans="2:24">
      <c r="B45" s="2947" t="s">
        <v>3146</v>
      </c>
      <c r="C45" s="2947" t="s">
        <v>3059</v>
      </c>
      <c r="D45" s="2947" t="s">
        <v>3060</v>
      </c>
      <c r="E45" s="2947" t="s">
        <v>3061</v>
      </c>
      <c r="F45" s="2947">
        <v>51208</v>
      </c>
      <c r="G45" s="2947" t="s">
        <v>3147</v>
      </c>
      <c r="H45" s="2947" t="s">
        <v>3144</v>
      </c>
      <c r="I45" s="2947">
        <v>1047.28</v>
      </c>
      <c r="J45" s="2947" t="s">
        <v>1323</v>
      </c>
      <c r="K45" s="2947" t="s">
        <v>3068</v>
      </c>
      <c r="L45" s="2949"/>
      <c r="M45" s="2949"/>
      <c r="O45" s="2949" t="s">
        <v>3254</v>
      </c>
      <c r="P45" s="2949" t="s">
        <v>3059</v>
      </c>
      <c r="Q45" s="2949" t="s">
        <v>3171</v>
      </c>
      <c r="R45" s="2949" t="s">
        <v>3061</v>
      </c>
      <c r="S45" s="2949">
        <v>47421</v>
      </c>
      <c r="T45" s="2949" t="s">
        <v>3255</v>
      </c>
      <c r="U45" s="2949" t="s">
        <v>3144</v>
      </c>
      <c r="V45" s="2949">
        <v>1602.27</v>
      </c>
      <c r="W45" s="2949" t="s">
        <v>1323</v>
      </c>
      <c r="X45" s="2949" t="s">
        <v>3064</v>
      </c>
    </row>
    <row r="46" spans="2:24">
      <c r="B46" s="2947" t="s">
        <v>3116</v>
      </c>
      <c r="C46" s="2947" t="s">
        <v>3059</v>
      </c>
      <c r="D46" s="2947" t="s">
        <v>3060</v>
      </c>
      <c r="E46" s="2947" t="s">
        <v>3061</v>
      </c>
      <c r="F46" s="2947">
        <v>7816</v>
      </c>
      <c r="G46" s="2947" t="s">
        <v>3155</v>
      </c>
      <c r="H46" s="2947" t="s">
        <v>3156</v>
      </c>
      <c r="I46" s="2947">
        <v>1510.89</v>
      </c>
      <c r="J46" s="2947" t="s">
        <v>1323</v>
      </c>
      <c r="K46" s="2947" t="s">
        <v>3068</v>
      </c>
      <c r="L46" s="2949"/>
      <c r="M46" s="2949"/>
      <c r="O46" s="2949" t="s">
        <v>3261</v>
      </c>
      <c r="P46" s="2949" t="s">
        <v>3059</v>
      </c>
      <c r="Q46" s="2949" t="s">
        <v>3171</v>
      </c>
      <c r="R46" s="2949" t="s">
        <v>3061</v>
      </c>
      <c r="S46" s="2949">
        <v>39267</v>
      </c>
      <c r="T46" s="2949" t="s">
        <v>3262</v>
      </c>
      <c r="U46" s="2949" t="s">
        <v>3159</v>
      </c>
      <c r="V46" s="2949">
        <v>1707.31</v>
      </c>
      <c r="W46" s="2949" t="s">
        <v>1323</v>
      </c>
      <c r="X46" s="2949" t="s">
        <v>3064</v>
      </c>
    </row>
    <row r="47" spans="2:24">
      <c r="B47" s="2947" t="s">
        <v>3164</v>
      </c>
      <c r="C47" s="2947" t="s">
        <v>3059</v>
      </c>
      <c r="D47" s="2947" t="s">
        <v>3060</v>
      </c>
      <c r="E47" s="2947" t="s">
        <v>3061</v>
      </c>
      <c r="F47" s="2947">
        <v>13411</v>
      </c>
      <c r="G47" s="2947" t="s">
        <v>3161</v>
      </c>
      <c r="H47" s="2947" t="s">
        <v>3159</v>
      </c>
      <c r="I47" s="2947">
        <v>2931.21</v>
      </c>
      <c r="J47" s="2947" t="s">
        <v>1323</v>
      </c>
      <c r="K47" s="2947" t="s">
        <v>3068</v>
      </c>
      <c r="L47" s="2949"/>
      <c r="M47" s="2949"/>
      <c r="O47" s="2949" t="s">
        <v>3267</v>
      </c>
      <c r="P47" s="2949" t="s">
        <v>3059</v>
      </c>
      <c r="Q47" s="2949" t="s">
        <v>3171</v>
      </c>
      <c r="R47" s="2949" t="s">
        <v>3061</v>
      </c>
      <c r="S47" s="2949">
        <v>28420</v>
      </c>
      <c r="T47" s="2949" t="s">
        <v>3262</v>
      </c>
      <c r="U47" s="2949" t="s">
        <v>3159</v>
      </c>
      <c r="V47" s="2949">
        <v>1673.16</v>
      </c>
      <c r="W47" s="2949" t="s">
        <v>1323</v>
      </c>
      <c r="X47" s="2949" t="s">
        <v>3083</v>
      </c>
    </row>
    <row r="48" spans="2:24">
      <c r="B48" s="2947" t="s">
        <v>3160</v>
      </c>
      <c r="C48" s="2947" t="s">
        <v>3059</v>
      </c>
      <c r="D48" s="2947" t="s">
        <v>3060</v>
      </c>
      <c r="E48" s="2947" t="s">
        <v>3061</v>
      </c>
      <c r="F48" s="2947">
        <v>8673</v>
      </c>
      <c r="G48" s="2947" t="s">
        <v>3161</v>
      </c>
      <c r="H48" s="2947" t="s">
        <v>3159</v>
      </c>
      <c r="I48" s="2947">
        <v>2931.05</v>
      </c>
      <c r="J48" s="2947" t="s">
        <v>1323</v>
      </c>
      <c r="K48" s="2947" t="s">
        <v>3068</v>
      </c>
      <c r="L48" s="2949"/>
      <c r="M48" s="2949"/>
      <c r="O48" s="2949" t="s">
        <v>3265</v>
      </c>
      <c r="P48" s="2949" t="s">
        <v>3059</v>
      </c>
      <c r="Q48" s="2949" t="s">
        <v>3171</v>
      </c>
      <c r="R48" s="2949" t="s">
        <v>3061</v>
      </c>
      <c r="S48" s="2949">
        <v>75912</v>
      </c>
      <c r="T48" s="2949" t="s">
        <v>3264</v>
      </c>
      <c r="U48" s="2949" t="s">
        <v>3159</v>
      </c>
      <c r="V48" s="2949">
        <v>1748.56</v>
      </c>
      <c r="W48" s="2949" t="s">
        <v>1323</v>
      </c>
      <c r="X48" s="2949" t="s">
        <v>3083</v>
      </c>
    </row>
    <row r="49" spans="2:24">
      <c r="B49" s="2947" t="s">
        <v>3157</v>
      </c>
      <c r="C49" s="2947" t="s">
        <v>3059</v>
      </c>
      <c r="D49" s="2947" t="s">
        <v>3060</v>
      </c>
      <c r="E49" s="2947" t="s">
        <v>3061</v>
      </c>
      <c r="F49" s="2947">
        <v>18568</v>
      </c>
      <c r="G49" s="2947" t="s">
        <v>3158</v>
      </c>
      <c r="H49" s="2947" t="s">
        <v>3159</v>
      </c>
      <c r="I49" s="2947">
        <v>2823.53</v>
      </c>
      <c r="J49" s="2947" t="s">
        <v>1323</v>
      </c>
      <c r="K49" s="2947" t="s">
        <v>3064</v>
      </c>
      <c r="L49" s="2949"/>
      <c r="M49" s="2949"/>
      <c r="O49" s="2949" t="s">
        <v>3263</v>
      </c>
      <c r="P49" s="2949" t="s">
        <v>3059</v>
      </c>
      <c r="Q49" s="2949" t="s">
        <v>3171</v>
      </c>
      <c r="R49" s="2949" t="s">
        <v>3061</v>
      </c>
      <c r="S49" s="2949">
        <v>17377</v>
      </c>
      <c r="T49" s="2949" t="s">
        <v>3264</v>
      </c>
      <c r="U49" s="2949" t="s">
        <v>3159</v>
      </c>
      <c r="V49" s="2949">
        <v>1748.61</v>
      </c>
      <c r="W49" s="2949" t="s">
        <v>1323</v>
      </c>
      <c r="X49" s="2949" t="s">
        <v>3083</v>
      </c>
    </row>
    <row r="50" spans="2:24">
      <c r="B50" s="2947" t="s">
        <v>3162</v>
      </c>
      <c r="C50" s="2947" t="s">
        <v>3059</v>
      </c>
      <c r="D50" s="2947" t="s">
        <v>3060</v>
      </c>
      <c r="E50" s="2947" t="s">
        <v>3061</v>
      </c>
      <c r="F50" s="2947">
        <v>49835</v>
      </c>
      <c r="G50" s="2947" t="s">
        <v>3163</v>
      </c>
      <c r="H50" s="2947" t="s">
        <v>3159</v>
      </c>
      <c r="I50" s="2947">
        <v>1199.99</v>
      </c>
      <c r="J50" s="2947" t="s">
        <v>1323</v>
      </c>
      <c r="K50" s="2947" t="s">
        <v>3064</v>
      </c>
      <c r="L50" s="2949"/>
      <c r="M50" s="2949"/>
      <c r="O50" s="2949" t="s">
        <v>3266</v>
      </c>
      <c r="P50" s="2949" t="s">
        <v>3059</v>
      </c>
      <c r="Q50" s="2949" t="s">
        <v>3171</v>
      </c>
      <c r="R50" s="2949" t="s">
        <v>3061</v>
      </c>
      <c r="S50" s="2949">
        <v>50561</v>
      </c>
      <c r="T50" s="2949" t="s">
        <v>3262</v>
      </c>
      <c r="U50" s="2949" t="s">
        <v>3159</v>
      </c>
      <c r="V50" s="2949">
        <v>1741.48</v>
      </c>
      <c r="W50" s="2949" t="s">
        <v>1323</v>
      </c>
      <c r="X50" s="2949" t="s">
        <v>3083</v>
      </c>
    </row>
    <row r="51" spans="2:24">
      <c r="B51" s="2947" t="s">
        <v>3165</v>
      </c>
      <c r="C51" s="2947" t="s">
        <v>3059</v>
      </c>
      <c r="D51" s="2947" t="s">
        <v>3060</v>
      </c>
      <c r="E51" s="2947" t="s">
        <v>3061</v>
      </c>
      <c r="F51" s="2947">
        <v>50195</v>
      </c>
      <c r="G51" s="2947" t="s">
        <v>3163</v>
      </c>
      <c r="H51" s="2947" t="s">
        <v>3159</v>
      </c>
      <c r="I51" s="2947">
        <v>1199.99</v>
      </c>
      <c r="J51" s="2947" t="s">
        <v>1323</v>
      </c>
      <c r="K51" s="2947" t="s">
        <v>3064</v>
      </c>
      <c r="L51" s="2949"/>
      <c r="M51" s="2949"/>
      <c r="O51" s="2949" t="s">
        <v>3268</v>
      </c>
      <c r="P51" s="2949" t="s">
        <v>3059</v>
      </c>
      <c r="Q51" s="2949" t="s">
        <v>3171</v>
      </c>
      <c r="R51" s="2949" t="s">
        <v>3061</v>
      </c>
      <c r="S51" s="2949">
        <v>29687</v>
      </c>
      <c r="T51" s="2949" t="s">
        <v>3269</v>
      </c>
      <c r="U51" s="2949" t="s">
        <v>3159</v>
      </c>
      <c r="V51" s="2949">
        <v>2061.71</v>
      </c>
      <c r="W51" s="2949" t="s">
        <v>1323</v>
      </c>
      <c r="X51" s="2949" t="s">
        <v>3068</v>
      </c>
    </row>
    <row r="52" spans="2:24">
      <c r="B52" s="2947" t="s">
        <v>3166</v>
      </c>
      <c r="C52" s="2947" t="s">
        <v>3059</v>
      </c>
      <c r="D52" s="2947" t="s">
        <v>3060</v>
      </c>
      <c r="E52" s="2947" t="s">
        <v>3061</v>
      </c>
      <c r="F52" s="2947">
        <v>15255</v>
      </c>
      <c r="G52" s="2947" t="s">
        <v>3169</v>
      </c>
      <c r="H52" s="2947" t="s">
        <v>3168</v>
      </c>
      <c r="I52" s="2947">
        <v>2052.48</v>
      </c>
      <c r="J52" s="2947" t="s">
        <v>1323</v>
      </c>
      <c r="K52" s="2947" t="s">
        <v>3068</v>
      </c>
      <c r="L52" s="2949"/>
      <c r="M52" s="2949"/>
      <c r="O52" s="2949" t="s">
        <v>3271</v>
      </c>
      <c r="P52" s="2949" t="s">
        <v>3059</v>
      </c>
      <c r="Q52" s="2949" t="s">
        <v>3171</v>
      </c>
      <c r="R52" s="2949" t="s">
        <v>3061</v>
      </c>
      <c r="S52" s="2949">
        <v>60033</v>
      </c>
      <c r="T52" s="2949" t="s">
        <v>3262</v>
      </c>
      <c r="U52" s="2949" t="s">
        <v>3159</v>
      </c>
      <c r="V52" s="2949">
        <v>1673.19</v>
      </c>
      <c r="W52" s="2949" t="s">
        <v>1323</v>
      </c>
      <c r="X52" s="2949" t="s">
        <v>3064</v>
      </c>
    </row>
    <row r="53" spans="2:24">
      <c r="B53" s="2947" t="s">
        <v>3166</v>
      </c>
      <c r="C53" s="2947" t="s">
        <v>3059</v>
      </c>
      <c r="D53" s="2947" t="s">
        <v>3060</v>
      </c>
      <c r="E53" s="2947" t="s">
        <v>3061</v>
      </c>
      <c r="F53" s="2947">
        <v>25799</v>
      </c>
      <c r="G53" s="2947" t="s">
        <v>3167</v>
      </c>
      <c r="H53" s="2947" t="s">
        <v>3168</v>
      </c>
      <c r="I53" s="2947">
        <v>1034.46</v>
      </c>
      <c r="J53" s="2947" t="s">
        <v>1323</v>
      </c>
      <c r="K53" s="2947" t="s">
        <v>3068</v>
      </c>
      <c r="L53" s="2949"/>
      <c r="M53" s="2949"/>
      <c r="O53" s="2949" t="s">
        <v>3270</v>
      </c>
      <c r="P53" s="2949" t="s">
        <v>3059</v>
      </c>
      <c r="Q53" s="2949" t="s">
        <v>3171</v>
      </c>
      <c r="R53" s="2949" t="s">
        <v>3061</v>
      </c>
      <c r="S53" s="2949">
        <v>65959</v>
      </c>
      <c r="T53" s="2949" t="s">
        <v>3269</v>
      </c>
      <c r="U53" s="2949" t="s">
        <v>3159</v>
      </c>
      <c r="V53" s="2949">
        <v>2061.69</v>
      </c>
      <c r="W53" s="2949" t="s">
        <v>1323</v>
      </c>
      <c r="X53" s="2949" t="s">
        <v>3068</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4" t="s">
        <v>1654</v>
      </c>
      <c r="B1" s="3024"/>
      <c r="C1" s="3024"/>
      <c r="D1" s="3024"/>
    </row>
    <row r="2" spans="1:4" ht="18">
      <c r="A2" s="3025" t="s">
        <v>1638</v>
      </c>
      <c r="B2" s="3025"/>
      <c r="C2" s="3025"/>
      <c r="D2" s="3025"/>
    </row>
    <row r="3" spans="1:4" ht="18.75">
      <c r="A3" s="1976" t="s">
        <v>1639</v>
      </c>
      <c r="B3" s="1976" t="s">
        <v>1640</v>
      </c>
      <c r="C3" s="1976" t="s">
        <v>1641</v>
      </c>
      <c r="D3" s="1976" t="s">
        <v>1642</v>
      </c>
    </row>
    <row r="4" spans="1:4" ht="56.25" customHeight="1">
      <c r="A4" s="1977" t="str">
        <f>项目基本情况!B4</f>
        <v>郑燚</v>
      </c>
      <c r="B4" s="1978">
        <f ca="1">项目基本情况!C4</f>
        <v>0</v>
      </c>
      <c r="C4" s="1979"/>
      <c r="D4" s="1980" t="s">
        <v>1643</v>
      </c>
    </row>
    <row r="5" spans="1:4" ht="56.25" customHeight="1">
      <c r="A5" s="1977" t="str">
        <f>项目基本情况!D4</f>
        <v>崔锴</v>
      </c>
      <c r="B5" s="1978">
        <f ca="1">项目基本情况!E4</f>
        <v>0</v>
      </c>
      <c r="C5" s="1981"/>
      <c r="D5" s="1980" t="s">
        <v>1643</v>
      </c>
    </row>
    <row r="6" spans="1:4" ht="18">
      <c r="A6" s="3025" t="s">
        <v>1644</v>
      </c>
      <c r="B6" s="3025"/>
      <c r="C6" s="3025"/>
      <c r="D6" s="3025"/>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6" t="s">
        <v>1647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（1）根据估价对象《房屋所有权证》复印件、《国有土地使用权》复印件，截至价值时点，估价对象抵押权未见登记。</v>
      </c>
      <c r="B15" s="3018"/>
      <c r="C15" s="3018"/>
      <c r="D15" s="3018"/>
    </row>
    <row r="16" spans="1:4" ht="30" customHeight="1">
      <c r="A16" s="3020" t="s">
        <v>1648</v>
      </c>
      <c r="B16" s="3020"/>
      <c r="C16" s="3020"/>
      <c r="D16" s="3020"/>
    </row>
    <row r="17" spans="1:4" ht="144" customHeight="1">
      <c r="A17" s="3020" t="s">
        <v>1649</v>
      </c>
      <c r="B17" s="3020"/>
      <c r="C17" s="3020"/>
      <c r="D17" s="3020"/>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1650</v>
      </c>
      <c r="B22" s="3022"/>
      <c r="C22" s="3022"/>
      <c r="D22" s="3022"/>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2" t="s">
        <v>1661</v>
      </c>
      <c r="B15" s="3027" t="s">
        <v>136</v>
      </c>
      <c r="C15" s="3028"/>
    </row>
    <row r="16" spans="1:7" ht="13.5">
      <c r="A16" s="3033"/>
      <c r="B16" s="3027" t="s">
        <v>69</v>
      </c>
      <c r="C16" s="3028"/>
    </row>
    <row r="17" spans="1:3" ht="13.5">
      <c r="A17" s="3033"/>
      <c r="B17" s="3030" t="s">
        <v>1662</v>
      </c>
      <c r="C17" s="1999" t="s">
        <v>1661</v>
      </c>
    </row>
    <row r="18" spans="1:3" ht="13.5">
      <c r="A18" s="3033"/>
      <c r="B18" s="3030"/>
      <c r="C18" s="1999" t="s">
        <v>1663</v>
      </c>
    </row>
    <row r="19" spans="1:3" ht="13.5">
      <c r="A19" s="3033"/>
      <c r="B19" s="3030"/>
      <c r="C19" s="1999" t="s">
        <v>1664</v>
      </c>
    </row>
    <row r="20" spans="1:3" ht="13.5">
      <c r="A20" s="3034"/>
      <c r="B20" s="3029" t="s">
        <v>1665</v>
      </c>
      <c r="C20" s="3028"/>
    </row>
    <row r="21" spans="1:3" ht="13.5">
      <c r="A21" s="2000" t="s">
        <v>1666</v>
      </c>
      <c r="B21" s="2001"/>
      <c r="C21" s="2002"/>
    </row>
    <row r="22" spans="1:3" ht="13.5">
      <c r="A22" s="3031" t="s">
        <v>1667</v>
      </c>
      <c r="B22" s="3029" t="s">
        <v>1668</v>
      </c>
      <c r="C22" s="3028"/>
    </row>
    <row r="23" spans="1:3" ht="13.5">
      <c r="A23" s="3031"/>
      <c r="B23" s="3029" t="s">
        <v>1669</v>
      </c>
      <c r="C23" s="3028"/>
    </row>
    <row r="24" spans="1:3" ht="13.5">
      <c r="A24" s="3031"/>
      <c r="B24" s="3029" t="s">
        <v>1670</v>
      </c>
      <c r="C24" s="3028"/>
    </row>
    <row r="25" spans="1:3" ht="13.5">
      <c r="A25" s="3031"/>
      <c r="B25" s="3030" t="s">
        <v>1671</v>
      </c>
      <c r="C25" s="1999" t="s">
        <v>1672</v>
      </c>
    </row>
    <row r="26" spans="1:3" ht="13.5">
      <c r="A26" s="3031"/>
      <c r="B26" s="3030"/>
      <c r="C26" s="1999" t="s">
        <v>1673</v>
      </c>
    </row>
    <row r="27" spans="1:3" ht="13.5">
      <c r="A27" s="3031"/>
      <c r="B27" s="3030"/>
      <c r="C27" s="1999" t="s">
        <v>1674</v>
      </c>
    </row>
    <row r="28" spans="1:3" ht="13.5">
      <c r="A28" s="3031"/>
      <c r="B28" s="3030"/>
      <c r="C28" s="1999" t="s">
        <v>1675</v>
      </c>
    </row>
    <row r="29" spans="1:3" ht="13.5">
      <c r="A29" s="3031"/>
      <c r="B29" s="3030"/>
      <c r="C29" s="1999" t="s">
        <v>1676</v>
      </c>
    </row>
    <row r="30" spans="1:3" ht="13.5">
      <c r="A30" s="3031"/>
      <c r="B30" s="3030"/>
      <c r="C30" s="1999" t="s">
        <v>1677</v>
      </c>
    </row>
    <row r="31" spans="1:3" ht="13.5">
      <c r="A31" s="3031"/>
      <c r="B31" s="3030"/>
      <c r="C31" s="1999" t="s">
        <v>1678</v>
      </c>
    </row>
    <row r="32" spans="1:3" ht="13.5">
      <c r="A32" s="3031"/>
      <c r="B32" s="3030"/>
      <c r="C32" s="1999" t="s">
        <v>1679</v>
      </c>
    </row>
    <row r="33" spans="1:3" ht="13.5">
      <c r="A33" s="3031"/>
      <c r="B33" s="3030"/>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43872</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t="str">
        <f ca="1">IF(C4&lt;B2,"已过期",1119970066)</f>
        <v>已过期</v>
      </c>
      <c r="C4" s="2346">
        <v>43849</v>
      </c>
      <c r="D4" s="2349" t="s">
        <v>831</v>
      </c>
      <c r="E4" s="1022">
        <f ca="1">IF(F4&lt;B2,"已过期",96010014)</f>
        <v>96010014</v>
      </c>
      <c r="F4" s="1030">
        <v>47118</v>
      </c>
    </row>
    <row r="5" spans="1:6" ht="24" customHeight="1">
      <c r="A5" s="1701" t="s">
        <v>832</v>
      </c>
      <c r="B5" s="1022" t="str">
        <f ca="1">IF(C5&lt;B2,"已过期",1119970074)</f>
        <v>已过期</v>
      </c>
      <c r="C5" s="2346">
        <v>43849</v>
      </c>
      <c r="D5" s="2349" t="s">
        <v>832</v>
      </c>
      <c r="E5" s="1022">
        <f ca="1">IF(F5&lt;B2,"已过期",2002110027)</f>
        <v>2002110027</v>
      </c>
      <c r="F5" s="1030">
        <v>46752</v>
      </c>
    </row>
    <row r="6" spans="1:6" ht="24" customHeight="1">
      <c r="A6" s="1701" t="s">
        <v>833</v>
      </c>
      <c r="B6" s="1022" t="str">
        <f ca="1">IF(C6&lt;B2,"已过期",1119970111)</f>
        <v>已过期</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t="str">
        <f ca="1">IF(C8&lt;B2,"已过期",1120000080)</f>
        <v>已过期</v>
      </c>
      <c r="C8" s="2346">
        <v>43849</v>
      </c>
      <c r="D8" s="2349" t="s">
        <v>835</v>
      </c>
      <c r="E8" s="1022">
        <f ca="1">IF(F8&lt;B2,"已过期",2000110082)</f>
        <v>2000110082</v>
      </c>
      <c r="F8" s="1030">
        <v>46387</v>
      </c>
    </row>
    <row r="9" spans="1:6" ht="24" customHeight="1">
      <c r="A9" s="1701" t="s">
        <v>836</v>
      </c>
      <c r="B9" s="1022" t="str">
        <f ca="1">IF(C9&lt;B2,"已过期",1419970001)</f>
        <v>已过期</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t="str">
        <f ca="1">IF(C13&lt;B2,"已过期",1120070131)</f>
        <v>已过期</v>
      </c>
      <c r="C13" s="2346">
        <v>43814</v>
      </c>
      <c r="D13" s="2349" t="s">
        <v>839</v>
      </c>
      <c r="E13" s="1022">
        <f ca="1">IF(F13&lt;B2,"已过期",2014110011)</f>
        <v>2014110011</v>
      </c>
      <c r="F13" s="1030">
        <v>49302</v>
      </c>
    </row>
    <row r="14" spans="1:6" ht="24" customHeight="1">
      <c r="A14" s="1701" t="s">
        <v>2995</v>
      </c>
      <c r="B14" s="1022" t="str">
        <f ca="1">IF(C14&lt;B2,"已过期",1120040230)</f>
        <v>已过期</v>
      </c>
      <c r="C14" s="2346">
        <v>43835</v>
      </c>
      <c r="D14" s="2349" t="s">
        <v>2995</v>
      </c>
      <c r="E14" s="1022">
        <f ca="1">IF(F14&lt;B2,"已过期",98030020)</f>
        <v>98030020</v>
      </c>
      <c r="F14" s="1030">
        <v>47118</v>
      </c>
    </row>
    <row r="15" spans="1:6" ht="24" customHeight="1">
      <c r="A15" s="1702" t="s">
        <v>2996</v>
      </c>
      <c r="B15" s="1022" t="str">
        <f ca="1">IF(C15&lt;B2,"已过期",1120070085)</f>
        <v>已过期</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2020-02-11T06:31:35Z</dcterms:modified>
</cp:coreProperties>
</file>