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吴琼联东U谷12号楼\"/>
    </mc:Choice>
  </mc:AlternateContent>
  <xr:revisionPtr revIDLastSave="0" documentId="13_ncr:1_{A23843F8-5FD8-4861-BB42-21C8053B5151}" xr6:coauthVersionLast="47" xr6:coauthVersionMax="47" xr10:uidLastSave="{00000000-0000-0000-0000-000000000000}"/>
  <bookViews>
    <workbookView xWindow="-120" yWindow="-120" windowWidth="19440" windowHeight="1500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基准地价修正" sheetId="43"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'数据-汇总表'!$A$1:$I$32</definedName>
    <definedName name="_xlnm.Print_Area" localSheetId="12">'数据-基础表'!$A$1:$I$13</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 i="78" l="1"/>
  <c r="C34" i="40" l="1"/>
  <c r="I34" i="40" l="1"/>
  <c r="G34" i="40"/>
  <c r="E34" i="40"/>
  <c r="I5" i="40"/>
  <c r="G5" i="40"/>
  <c r="E5" i="40"/>
  <c r="I7" i="40"/>
  <c r="G7" i="40"/>
  <c r="E7" i="40"/>
  <c r="P7" i="80"/>
  <c r="P6" i="80"/>
  <c r="P5" i="80"/>
  <c r="P4" i="80"/>
  <c r="P3" i="80"/>
  <c r="P2" i="80"/>
  <c r="D66" i="40"/>
  <c r="E66" i="40" s="1"/>
  <c r="F66" i="40" s="1"/>
  <c r="G66" i="40" s="1"/>
  <c r="H66" i="40" s="1"/>
  <c r="I66" i="40" s="1"/>
  <c r="J66" i="40" s="1"/>
  <c r="K66" i="40" s="1"/>
  <c r="L66" i="40" s="1"/>
  <c r="M66" i="40" s="1"/>
  <c r="N66" i="40" s="1"/>
  <c r="O66" i="40" s="1"/>
  <c r="D14" i="9"/>
  <c r="Y6" i="1"/>
  <c r="N19" i="1"/>
  <c r="N18" i="1"/>
  <c r="F19" i="6"/>
  <c r="D3" i="4"/>
  <c r="B14" i="74" l="1"/>
  <c r="D3" i="40"/>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O1" i="80" s="1"/>
  <c r="G12" i="78"/>
  <c r="C15" i="78"/>
  <c r="H100" i="43"/>
  <c r="H97" i="43"/>
  <c r="H95" i="43"/>
  <c r="H94" i="43"/>
  <c r="H98" i="43"/>
  <c r="H93" i="43"/>
  <c r="H101" i="43"/>
  <c r="H99" i="43"/>
  <c r="H96" i="43"/>
  <c r="G23" i="78"/>
  <c r="G24" i="78"/>
  <c r="G25" i="78"/>
  <c r="B15" i="78"/>
  <c r="B18" i="78"/>
  <c r="G14" i="73"/>
  <c r="F14" i="73"/>
  <c r="E14" i="73"/>
  <c r="V1" i="80" l="1"/>
  <c r="O7" i="80"/>
  <c r="O6" i="80"/>
  <c r="O5" i="80"/>
  <c r="O4" i="80"/>
  <c r="O3" i="80"/>
  <c r="O2" i="80"/>
  <c r="Q2" i="80"/>
  <c r="R2" i="80" s="1"/>
  <c r="Q3" i="80"/>
  <c r="R3" i="80" s="1"/>
  <c r="Q4" i="80"/>
  <c r="R4" i="80" s="1"/>
  <c r="Q5" i="80"/>
  <c r="R5" i="80" s="1"/>
  <c r="Q6" i="80"/>
  <c r="R6" i="80" s="1"/>
  <c r="Q7" i="80"/>
  <c r="R7" i="80" s="1"/>
  <c r="G15" i="73"/>
  <c r="F15" i="73"/>
  <c r="E15" i="73"/>
  <c r="V4" i="80" l="1"/>
  <c r="I41" i="40" s="1"/>
  <c r="V3" i="80"/>
  <c r="G41" i="40" s="1"/>
  <c r="V2" i="80"/>
  <c r="E41" i="40" s="1"/>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G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F7" i="15"/>
  <c r="E7" i="76"/>
  <c r="F8" i="67"/>
  <c r="F43" i="15"/>
  <c r="B10" i="76"/>
  <c r="F37" i="15"/>
  <c r="F42" i="67"/>
  <c r="M28" i="67"/>
  <c r="F5" i="73"/>
  <c r="D6" i="73"/>
  <c r="M6" i="15"/>
  <c r="C76" i="15"/>
  <c r="B8" i="76"/>
  <c r="M23" i="15"/>
  <c r="F42" i="15"/>
  <c r="J15" i="67"/>
  <c r="E2" i="68"/>
  <c r="E8" i="76"/>
  <c r="J15" i="15"/>
  <c r="E11" i="76"/>
  <c r="F26" i="15"/>
  <c r="E10" i="76"/>
  <c r="M23" i="67"/>
  <c r="F36" i="67"/>
  <c r="M8" i="15"/>
  <c r="M29" i="15"/>
  <c r="B11" i="76"/>
  <c r="F36" i="15"/>
  <c r="F20" i="31"/>
  <c r="F6" i="73"/>
  <c r="D7" i="73"/>
  <c r="F6" i="15"/>
  <c r="F13" i="67"/>
  <c r="M9" i="15"/>
  <c r="F13" i="15"/>
  <c r="E2" i="69"/>
  <c r="F38" i="67"/>
  <c r="F4" i="73"/>
  <c r="M22" i="67"/>
  <c r="F40" i="67"/>
  <c r="F43" i="67"/>
  <c r="M26" i="67"/>
  <c r="AO13" i="1"/>
  <c r="F6" i="67"/>
  <c r="M24" i="15"/>
  <c r="L47" i="67"/>
  <c r="F26" i="67"/>
  <c r="L47" i="15"/>
  <c r="E13" i="76"/>
  <c r="E9" i="76"/>
  <c r="L48" i="15"/>
  <c r="M6" i="67"/>
  <c r="M8" i="67"/>
  <c r="F9" i="67"/>
  <c r="B9" i="76"/>
  <c r="F7" i="67"/>
  <c r="F8" i="15"/>
  <c r="B7" i="76"/>
  <c r="F9" i="15"/>
  <c r="M28" i="15"/>
  <c r="D3" i="73"/>
  <c r="F7" i="73"/>
  <c r="B12" i="76"/>
  <c r="M24" i="67"/>
  <c r="F40" i="15"/>
  <c r="F16" i="67"/>
  <c r="L48" i="67"/>
  <c r="M26" i="15"/>
  <c r="D4" i="73"/>
  <c r="F16" i="15"/>
  <c r="F3" i="73"/>
  <c r="E12" i="76"/>
  <c r="M29" i="67"/>
  <c r="C76" i="67"/>
  <c r="D5" i="73"/>
  <c r="M22" i="15"/>
  <c r="F38" i="15"/>
  <c r="M9" i="67"/>
  <c r="B13" i="76"/>
  <c r="M85" i="43" l="1"/>
  <c r="N85" i="43" s="1"/>
  <c r="K85" i="43"/>
  <c r="D85" i="43" s="1"/>
  <c r="G6" i="1"/>
  <c r="I24" i="43"/>
  <c r="A15" i="62"/>
  <c r="B61" i="72"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G90" i="43" s="1"/>
  <c r="O23" i="43"/>
  <c r="I18" i="43"/>
  <c r="E17" i="43" s="1"/>
  <c r="C17" i="43" s="1"/>
  <c r="C24" i="43"/>
  <c r="H26" i="43"/>
  <c r="F26" i="43"/>
  <c r="J26" i="43"/>
  <c r="G26" i="43"/>
  <c r="E26" i="43"/>
  <c r="A1" i="79"/>
  <c r="H55" i="43"/>
  <c r="H86" i="43"/>
  <c r="G86" i="43" s="1"/>
  <c r="H87" i="43"/>
  <c r="G87" i="43" s="1"/>
  <c r="N370" i="46"/>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F15" i="71" l="1"/>
  <c r="F14" i="71" s="1"/>
  <c r="F13" i="71" s="1"/>
  <c r="F12" i="71" s="1"/>
  <c r="F11" i="71" s="1"/>
  <c r="F10" i="71" s="1"/>
  <c r="F9" i="71" s="1"/>
  <c r="F8" i="71" s="1"/>
  <c r="F7" i="71" s="1"/>
  <c r="F6" i="71" s="1"/>
  <c r="F5" i="71" s="1"/>
  <c r="M23" i="43"/>
  <c r="M84" i="43"/>
  <c r="N84" i="43" s="1"/>
  <c r="K84" i="43"/>
  <c r="M88" i="43"/>
  <c r="N88" i="43" s="1"/>
  <c r="K88" i="43"/>
  <c r="J88" i="43" s="1"/>
  <c r="D88" i="43" s="1"/>
  <c r="M89" i="43"/>
  <c r="N89" i="43" s="1"/>
  <c r="K89" i="43"/>
  <c r="M87" i="43"/>
  <c r="N87" i="43" s="1"/>
  <c r="K87" i="43"/>
  <c r="M86" i="43"/>
  <c r="N86" i="43" s="1"/>
  <c r="K86" i="43"/>
  <c r="M90" i="43"/>
  <c r="N90" i="43" s="1"/>
  <c r="K90" i="43"/>
  <c r="M83" i="43"/>
  <c r="N83" i="43" s="1"/>
  <c r="K83" i="43"/>
  <c r="B15" i="71"/>
  <c r="B14" i="71" s="1"/>
  <c r="B13" i="71" s="1"/>
  <c r="B12" i="71" s="1"/>
  <c r="S16" i="71"/>
  <c r="AZ15" i="3"/>
  <c r="BL5" i="3"/>
  <c r="AZ550" i="3"/>
  <c r="BA5" i="3"/>
  <c r="E11" i="71"/>
  <c r="E10" i="71" s="1"/>
  <c r="E9" i="71" s="1"/>
  <c r="E8" i="71" s="1"/>
  <c r="E7" i="71" s="1"/>
  <c r="E6" i="71" s="1"/>
  <c r="E5" i="71" s="1"/>
  <c r="V12" i="71"/>
  <c r="C15" i="71"/>
  <c r="T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J83" i="43" l="1"/>
  <c r="D83" i="43"/>
  <c r="D90" i="43"/>
  <c r="J90" i="43"/>
  <c r="D86" i="43"/>
  <c r="J86" i="43"/>
  <c r="D87" i="43"/>
  <c r="J87" i="43"/>
  <c r="D89" i="43"/>
  <c r="J89" i="43"/>
  <c r="D84" i="43"/>
  <c r="J84" i="43"/>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E83" i="43" l="1"/>
  <c r="B81" i="43" s="1"/>
  <c r="C28" i="43" s="1"/>
  <c r="D116" i="43"/>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15"/>
  <c r="C17" i="67"/>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D19" i="69"/>
  <c r="C28" i="11"/>
  <c r="C27" i="11" s="1"/>
  <c r="C25" i="11"/>
  <c r="C22"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31" i="11" l="1"/>
  <c r="C8" i="69"/>
  <c r="B29" i="1"/>
  <c r="I5" i="6"/>
  <c r="I6" i="6"/>
  <c r="C19" i="69"/>
  <c r="D37" i="69"/>
  <c r="C37" i="69" s="1"/>
  <c r="C33" i="69" s="1"/>
  <c r="C19" i="68"/>
  <c r="D37" i="68"/>
  <c r="C37" i="68" s="1"/>
  <c r="C33" i="68" s="1"/>
  <c r="C39" i="68" s="1"/>
  <c r="C43" i="68" s="1"/>
  <c r="D10" i="71"/>
  <c r="C9" i="71"/>
  <c r="Q49" i="67"/>
  <c r="J14" i="67"/>
  <c r="J13" i="67" s="1"/>
  <c r="J23" i="67" s="1"/>
  <c r="C36" i="67"/>
  <c r="C57" i="67"/>
  <c r="C64" i="67" s="1"/>
  <c r="C13" i="67"/>
  <c r="Q70" i="67" s="1"/>
  <c r="C33" i="11"/>
  <c r="C39" i="11" s="1"/>
  <c r="C61" i="67"/>
  <c r="C42" i="68"/>
  <c r="C23" i="15"/>
  <c r="C29" i="15" s="1"/>
  <c r="R27" i="6"/>
  <c r="R6" i="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68" l="1"/>
  <c r="C5" i="68" s="1"/>
  <c r="C23" i="68" s="1"/>
  <c r="C18" i="12"/>
  <c r="C21" i="12" s="1"/>
  <c r="C8" i="71"/>
  <c r="D9" i="71"/>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0" i="68" l="1"/>
  <c r="C25" i="68" s="1"/>
  <c r="C22" i="68" s="1"/>
  <c r="C22" i="12"/>
  <c r="C30" i="12" s="1"/>
  <c r="C28" i="12" s="1"/>
  <c r="C43" i="69"/>
  <c r="C41" i="69" s="1"/>
  <c r="C46" i="69"/>
  <c r="C45" i="69" s="1"/>
  <c r="C28" i="68"/>
  <c r="C27"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67"/>
  <c r="D2" i="21"/>
  <c r="C27" i="12" l="1"/>
  <c r="C25" i="12" s="1"/>
  <c r="C31" i="68"/>
  <c r="C52" i="68" s="1"/>
  <c r="B2" i="68" s="1"/>
  <c r="B3" i="68" s="1"/>
  <c r="C32" i="12"/>
  <c r="B2" i="12" s="1"/>
  <c r="B3" i="12" s="1"/>
  <c r="C57" i="68"/>
  <c r="C56" i="68" s="1"/>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19" i="9"/>
  <c r="D2" i="35"/>
  <c r="L51" i="15"/>
  <c r="D102" i="9" l="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2" i="1"/>
  <c r="AO10" i="1"/>
  <c r="AO7" i="1"/>
  <c r="AO11" i="1"/>
  <c r="AO6" i="1"/>
  <c r="AO8"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9" s="1"/>
  <c r="C43" i="40"/>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C22" i="69" l="1"/>
  <c r="C28" i="69"/>
  <c r="C27" i="69" s="1"/>
  <c r="S26" i="79"/>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B3" i="43"/>
  <c r="B6" i="76"/>
  <c r="E6" i="76"/>
  <c r="C31" i="69" l="1"/>
  <c r="C52" i="69" s="1"/>
  <c r="B2" i="69" s="1"/>
  <c r="E2" i="76"/>
  <c r="B2" i="76"/>
  <c r="C57" i="69" l="1"/>
  <c r="C56" i="69" s="1"/>
  <c r="B3" i="76"/>
  <c r="B3" i="69"/>
  <c r="C19" i="9"/>
  <c r="D35" i="9"/>
  <c r="C20" i="9"/>
  <c r="D34" i="9"/>
  <c r="G20" i="9" l="1"/>
  <c r="E14" i="74" s="1"/>
  <c r="D14" i="74" s="1"/>
  <c r="D25" i="74" s="1"/>
  <c r="C103" i="9"/>
  <c r="C102" i="9"/>
  <c r="D22" i="9"/>
  <c r="G19" i="9"/>
  <c r="C21" i="9"/>
  <c r="C32" i="9" l="1"/>
  <c r="G21" i="9"/>
  <c r="G14" i="74"/>
  <c r="B6" i="74" s="1"/>
  <c r="F14" i="74"/>
  <c r="B5" i="74"/>
  <c r="D5" i="74" l="1"/>
  <c r="D6" i="74"/>
  <c r="C35" i="9"/>
  <c r="I118" i="9" l="1"/>
  <c r="H118" i="9" s="1"/>
  <c r="H119" i="9" s="1"/>
  <c r="H5" i="52" s="1"/>
  <c r="C34" i="9"/>
  <c r="H4" i="52" l="1"/>
  <c r="H101" i="9"/>
  <c r="C104" i="9"/>
  <c r="G118" i="9"/>
  <c r="C105" i="9"/>
  <c r="I4" i="52"/>
  <c r="H102" i="9"/>
  <c r="E118" i="9"/>
  <c r="E4" i="52" s="1"/>
  <c r="B48" i="72" s="1"/>
  <c r="D45" i="9"/>
  <c r="D5" i="53"/>
  <c r="M48" i="9"/>
  <c r="H107" i="9"/>
  <c r="G4" i="52" l="1"/>
  <c r="B52" i="72" s="1"/>
  <c r="F118" i="9"/>
  <c r="D118" i="9"/>
  <c r="D122" i="9"/>
  <c r="H108" i="9"/>
  <c r="D13" i="53"/>
  <c r="D6" i="53"/>
  <c r="B22" i="72" s="1"/>
  <c r="B20" i="72"/>
  <c r="D55" i="9"/>
  <c r="M53" i="9" s="1"/>
  <c r="C78" i="9"/>
  <c r="C73" i="9" s="1"/>
  <c r="C93" i="9"/>
  <c r="C86" i="9" s="1"/>
  <c r="C85" i="9"/>
  <c r="C72" i="9"/>
  <c r="C64" i="9"/>
  <c r="C63" i="9" s="1"/>
  <c r="C67" i="9" s="1"/>
  <c r="D52" i="9"/>
  <c r="D53" i="9"/>
  <c r="D7" i="53"/>
  <c r="B21" i="72" s="1"/>
  <c r="C5" i="74"/>
  <c r="D119" i="9" l="1"/>
  <c r="D5" i="52" s="1"/>
  <c r="B49" i="72" s="1"/>
  <c r="D4" i="52"/>
  <c r="B47" i="72" s="1"/>
  <c r="F119" i="9"/>
  <c r="F5" i="52" s="1"/>
  <c r="B53" i="72" s="1"/>
  <c r="F4" i="52"/>
  <c r="B51" i="72" s="1"/>
  <c r="C79" i="9"/>
  <c r="C95" i="9"/>
  <c r="D59" i="9"/>
  <c r="M55" i="9" s="1"/>
  <c r="C68" i="9"/>
  <c r="D54" i="9" s="1"/>
  <c r="C80" i="9"/>
  <c r="E80" i="9" s="1"/>
  <c r="E81" i="9" s="1"/>
  <c r="C96" i="9"/>
  <c r="E96" i="9" s="1"/>
  <c r="E97" i="9" s="1"/>
  <c r="D14" i="53"/>
  <c r="B32" i="72" s="1"/>
  <c r="B30" i="72"/>
  <c r="D15" i="53"/>
  <c r="B31" i="72" s="1"/>
  <c r="C6" i="74"/>
  <c r="D123" i="9"/>
  <c r="D9" i="52" s="1"/>
  <c r="D8" i="52"/>
  <c r="C97" i="9" l="1"/>
  <c r="D58" i="9" s="1"/>
  <c r="D56" i="9" s="1"/>
  <c r="M54" i="9" s="1"/>
  <c r="N57" i="9" s="1"/>
  <c r="P57"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<sst xmlns="http://schemas.openxmlformats.org/spreadsheetml/2006/main" count="7919" uniqueCount="3461">
  <si>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</si>
  <si>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</si>
  <si>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</si>
  <si>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</si>
  <si>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</si>
  <si>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</si>
  <si>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</si>
  <si>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</si>
  <si>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</si>
  <si>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</si>
  <si>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</si>
  <si>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</si>
  <si>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</si>
  <si>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</si>
  <si>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</si>
  <si>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</si>
  <si>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</si>
  <si>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</si>
  <si>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</si>
  <si>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</si>
  <si>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</si>
  <si>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</si>
  <si>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</si>
  <si>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</si>
  <si>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</si>
  <si>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</si>
  <si>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</si>
  <si>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</si>
  <si>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</si>
  <si>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</si>
  <si>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</si>
  <si>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</si>
  <si>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</si>
  <si>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</si>
  <si>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</si>
  <si>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</si>
  <si>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</si>
  <si>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</si>
  <si>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</si>
  <si>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</si>
  <si>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</si>
  <si>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</si>
  <si>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</si>
  <si>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</si>
  <si>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</si>
  <si>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</si>
  <si>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</si>
  <si>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</si>
  <si>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</si>
  <si>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</si>
  <si>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</si>
  <si>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</si>
  <si>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</si>
  <si>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</si>
  <si>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</si>
  <si>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</si>
  <si>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</si>
  <si>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</si>
  <si>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</si>
  <si>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</si>
  <si>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</si>
  <si>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</si>
  <si>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</si>
  <si>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</si>
  <si>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</si>
  <si>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</si>
  <si>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</si>
  <si>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</si>
  <si>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</si>
  <si>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</si>
  <si>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</si>
  <si>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</si>
  <si>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</si>
  <si>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</si>
  <si>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</si>
  <si>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</si>
  <si>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</si>
  <si>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</si>
  <si>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</si>
  <si>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</si>
  <si>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</si>
  <si>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</si>
  <si>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</si>
  <si>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</si>
  <si>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</si>
  <si>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</si>
  <si>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</si>
  <si>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</si>
  <si>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</si>
  <si>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</si>
  <si>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</si>
  <si>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</si>
  <si>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</si>
  <si>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</si>
  <si>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</si>
  <si>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</si>
  <si>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</si>
  <si>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</si>
  <si>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</si>
  <si>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</si>
  <si>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</si>
  <si>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</si>
  <si>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</si>
  <si>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</si>
  <si>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</si>
  <si>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</si>
  <si>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</si>
  <si>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</si>
  <si>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</si>
  <si>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</si>
  <si>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</si>
  <si>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</si>
  <si>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</si>
  <si>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</si>
  <si>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</si>
  <si>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</si>
  <si>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</si>
  <si>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</si>
  <si>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</si>
  <si>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</si>
  <si>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</si>
  <si>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</si>
  <si>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</si>
  <si>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</si>
  <si>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</si>
  <si>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</si>
  <si>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</si>
  <si>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</si>
  <si>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</si>
  <si>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</si>
  <si>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</si>
  <si>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</si>
  <si>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</si>
  <si>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</si>
  <si>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</si>
  <si>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</si>
  <si>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</si>
  <si>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</si>
  <si>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</si>
  <si>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</si>
  <si>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</si>
  <si>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</si>
  <si>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</si>
  <si>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</si>
  <si>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</si>
  <si>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</si>
  <si>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</si>
  <si>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</si>
  <si>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</si>
  <si>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</si>
  <si>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</si>
  <si>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</si>
  <si>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</si>
  <si>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</si>
  <si>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</si>
  <si>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</si>
  <si>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</si>
  <si>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</si>
  <si>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</si>
  <si>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</si>
  <si>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</si>
  <si>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</si>
  <si>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</si>
  <si>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</si>
  <si>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</si>
  <si>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</si>
  <si>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</si>
  <si>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</si>
  <si>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</si>
  <si>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</si>
  <si>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</si>
  <si>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</si>
  <si>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</si>
  <si>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</si>
  <si>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</si>
  <si>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</si>
  <si>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</si>
  <si>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</si>
  <si>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</si>
  <si>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</si>
  <si>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</si>
  <si>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</si>
  <si>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</si>
  <si>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</si>
  <si>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</si>
  <si>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</si>
  <si>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</si>
  <si>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</si>
  <si>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</si>
  <si>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</si>
  <si>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</si>
  <si>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</si>
  <si>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</si>
  <si>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</si>
  <si>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</si>
  <si>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</si>
  <si>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</si>
  <si>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</si>
  <si>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</si>
  <si>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</si>
  <si>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</si>
  <si>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</si>
  <si>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</si>
  <si>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</si>
  <si>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</si>
  <si>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</si>
  <si>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</si>
  <si>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</si>
  <si>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</si>
  <si>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</si>
  <si>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</si>
  <si>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</si>
  <si>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</si>
  <si>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</si>
  <si>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</si>
  <si>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</si>
  <si>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</si>
  <si>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</si>
  <si>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</si>
  <si>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</si>
  <si>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</si>
  <si>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</si>
  <si>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</si>
  <si>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</si>
  <si>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</si>
  <si>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</si>
  <si>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</si>
  <si>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</si>
  <si>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</si>
  <si>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</si>
  <si>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</si>
  <si>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</si>
  <si>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</si>
  <si>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</si>
  <si>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</si>
  <si>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</si>
  <si>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</si>
  <si>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</si>
  <si>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</si>
  <si>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</si>
  <si>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</si>
  <si>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</si>
  <si>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</si>
  <si>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</si>
  <si>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</si>
  <si>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</si>
  <si>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</si>
  <si>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</si>
  <si>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</si>
  <si>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</si>
  <si>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</si>
  <si>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</si>
  <si>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</si>
  <si>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</si>
  <si>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</si>
  <si>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</si>
  <si>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</si>
  <si>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</si>
  <si>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</si>
  <si>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</si>
  <si>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</si>
  <si>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</si>
  <si>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</si>
  <si>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</si>
  <si>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</si>
  <si>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</si>
  <si>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</si>
  <si>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</si>
  <si>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</si>
  <si>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</si>
  <si>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</si>
  <si>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</si>
  <si>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</si>
  <si>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</si>
  <si>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</si>
  <si>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</si>
  <si>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</si>
  <si>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</si>
  <si>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</si>
  <si>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</si>
  <si>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</si>
  <si>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</si>
  <si>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</si>
  <si>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</si>
  <si>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</si>
  <si>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</si>
  <si>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</si>
  <si>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</si>
  <si>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</si>
  <si>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</si>
  <si>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</si>
  <si>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</si>
  <si>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</si>
  <si>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</si>
  <si>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</si>
  <si>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</si>
  <si>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</si>
  <si>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</si>
  <si>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</si>
  <si>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</si>
  <si>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</si>
  <si>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</si>
  <si>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</si>
  <si>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</si>
  <si>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</si>
  <si>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</si>
  <si>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</si>
  <si>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</si>
  <si>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</si>
  <si>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</si>
  <si>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</si>
  <si>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</si>
  <si>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</si>
  <si>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</si>
  <si>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</si>
  <si>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</si>
  <si>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</si>
  <si>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</si>
  <si>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</si>
  <si>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</si>
  <si>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</si>
  <si>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</si>
  <si>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</si>
  <si>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</si>
  <si>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</si>
  <si>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</si>
  <si>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</si>
  <si>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</si>
  <si>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</si>
  <si>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</si>
  <si>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</si>
  <si>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</si>
  <si>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</si>
  <si>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</si>
  <si>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</si>
  <si>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</si>
  <si>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</si>
  <si>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</si>
  <si>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</si>
  <si>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</si>
  <si>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</si>
  <si>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</si>
  <si>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</si>
  <si>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</si>
  <si>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</si>
  <si>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</si>
  <si>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</si>
  <si>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</si>
  <si>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</si>
  <si>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</si>
  <si>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</si>
  <si>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</si>
  <si>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</si>
  <si>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</si>
  <si>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</si>
  <si>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</si>
  <si>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</si>
  <si>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</si>
  <si>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</si>
  <si>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</si>
  <si>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</si>
  <si>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</si>
  <si>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</si>
  <si>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</si>
  <si>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</si>
  <si>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</si>
  <si>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</si>
  <si>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</si>
  <si>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</si>
  <si>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</si>
  <si>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</si>
  <si>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</si>
  <si>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</si>
  <si>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</si>
  <si>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</si>
  <si>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</si>
  <si>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</si>
  <si>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</si>
  <si>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</si>
  <si>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</si>
  <si>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</si>
  <si>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</si>
  <si>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</si>
  <si>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</si>
  <si>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</si>
  <si>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</si>
  <si>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</si>
  <si>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</si>
  <si>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</si>
  <si>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</si>
  <si>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</si>
  <si>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</si>
  <si>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</si>
  <si>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</si>
  <si>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</si>
  <si>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</si>
  <si>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</si>
  <si>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</si>
  <si>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</si>
  <si>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</si>
  <si>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</si>
  <si>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</si>
  <si>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</si>
  <si>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</si>
  <si>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</si>
  <si>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</si>
  <si>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</si>
  <si>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</si>
  <si>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</si>
  <si>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</si>
  <si>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</si>
  <si>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</si>
  <si>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</si>
  <si>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</si>
  <si>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</si>
  <si>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</si>
  <si>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</si>
  <si>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</si>
  <si>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</si>
  <si>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</si>
  <si>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</si>
  <si>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</si>
  <si>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</si>
  <si>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</si>
  <si>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</si>
  <si>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</si>
  <si>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</si>
  <si>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</si>
  <si>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</si>
  <si>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</si>
  <si>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</si>
  <si>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</si>
  <si>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</si>
  <si>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</si>
  <si>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</si>
  <si>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</si>
  <si>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</si>
  <si>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</si>
  <si>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</si>
  <si>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</si>
  <si>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</si>
  <si>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</si>
  <si>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</si>
  <si>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</si>
  <si>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</si>
  <si>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</si>
  <si>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</si>
  <si>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</si>
  <si>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</si>
  <si>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</si>
  <si>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</si>
  <si>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</si>
  <si>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</si>
  <si>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</si>
  <si>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</si>
  <si>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</si>
  <si>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</si>
  <si>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</si>
  <si>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</si>
  <si>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</si>
  <si>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</si>
  <si>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</si>
  <si>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</si>
  <si>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</si>
  <si>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</si>
  <si>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</si>
  <si>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</si>
  <si>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</si>
  <si>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</si>
  <si>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</si>
  <si>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</si>
  <si>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</si>
  <si>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</si>
  <si>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</si>
  <si>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</si>
  <si>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</si>
  <si>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</si>
  <si>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</si>
  <si>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</si>
  <si>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</si>
  <si>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</si>
  <si>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</si>
  <si>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</si>
  <si>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</si>
  <si>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</si>
  <si>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</si>
  <si>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</si>
  <si>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</si>
  <si>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</si>
  <si>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</si>
  <si>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</si>
  <si>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</si>
  <si>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</si>
  <si>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</si>
  <si>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</si>
  <si>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</si>
  <si>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</si>
  <si>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</si>
  <si>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</si>
  <si>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</si>
  <si>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</si>
  <si>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</si>
  <si>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</si>
  <si>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</si>
  <si>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</si>
  <si>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</si>
  <si>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</si>
  <si>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</si>
  <si>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</si>
  <si>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</si>
  <si>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</si>
  <si>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</si>
  <si>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</si>
  <si>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</si>
  <si>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</si>
  <si>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</si>
  <si>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</si>
  <si>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</si>
  <si>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</si>
  <si>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</si>
  <si>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</si>
  <si>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</si>
  <si>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</si>
  <si>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</si>
  <si>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</si>
  <si>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</si>
  <si>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</si>
  <si>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</si>
  <si>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</si>
  <si>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</si>
  <si>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</si>
  <si>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</si>
  <si>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</si>
  <si>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</si>
  <si>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</si>
  <si>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</si>
  <si>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</si>
  <si>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</si>
  <si>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</si>
  <si>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</si>
  <si>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</si>
  <si>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</si>
  <si>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</si>
  <si>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</si>
  <si>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</si>
  <si>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</si>
  <si>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</si>
  <si>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</si>
  <si>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</si>
  <si>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</si>
  <si>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</si>
  <si>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</si>
  <si>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</si>
  <si>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</si>
  <si>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</si>
  <si>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</si>
  <si>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</si>
  <si>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</si>
  <si>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</si>
  <si>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</si>
  <si>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</si>
  <si>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</si>
  <si>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</si>
  <si>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</si>
  <si>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</si>
  <si>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</si>
  <si>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</si>
  <si>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</si>
  <si>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</si>
  <si>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</si>
  <si>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</si>
  <si>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</si>
  <si>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</si>
  <si>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</si>
  <si>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</si>
  <si>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</si>
  <si>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</si>
  <si>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</si>
  <si>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</si>
  <si>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</si>
  <si>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</si>
  <si>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</si>
  <si>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</si>
  <si>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</si>
  <si>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</si>
  <si>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</si>
  <si>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</si>
  <si>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</si>
  <si>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</si>
  <si>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</si>
  <si>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</si>
  <si>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</si>
  <si>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</si>
  <si>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</si>
  <si>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</si>
  <si>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</si>
  <si>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</si>
  <si>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</si>
  <si>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</si>
  <si>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</si>
  <si>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</si>
  <si>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</si>
  <si>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</si>
  <si>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</si>
  <si>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</si>
  <si>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</si>
  <si>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</si>
  <si>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</si>
  <si>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</si>
  <si>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</si>
  <si>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</si>
  <si>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</si>
  <si>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</si>
  <si>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</si>
  <si>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</si>
  <si>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</si>
  <si>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</si>
  <si>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</si>
  <si>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</si>
  <si>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</si>
  <si>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</si>
  <si>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</si>
  <si>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</si>
  <si>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</si>
  <si>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</si>
  <si>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</si>
  <si>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</si>
  <si>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</si>
  <si>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</si>
  <si>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</si>
  <si>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</si>
  <si>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</si>
  <si>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</si>
  <si>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</si>
  <si>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</si>
  <si>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</si>
  <si>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</si>
  <si>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</si>
  <si>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</si>
  <si>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</si>
  <si>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</si>
  <si>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</si>
  <si>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</si>
  <si>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</si>
  <si>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</si>
  <si>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</si>
  <si>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</si>
  <si>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</si>
  <si>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</si>
  <si>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</si>
  <si>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</si>
  <si>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</si>
  <si>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</si>
  <si>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</si>
  <si>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</si>
  <si>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</si>
  <si>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</si>
  <si>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</si>
  <si>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</si>
  <si>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</si>
  <si>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</si>
  <si>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</si>
  <si>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</si>
  <si>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</si>
  <si>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</si>
  <si>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</si>
  <si>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</si>
  <si>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</si>
  <si>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</si>
  <si>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</si>
  <si>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</si>
  <si>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</si>
  <si>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</si>
  <si>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</si>
  <si>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</si>
  <si>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</si>
  <si>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</si>
  <si>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</si>
  <si>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</si>
  <si>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</si>
  <si>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</si>
  <si>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</si>
  <si>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</si>
  <si>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</si>
  <si>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</si>
  <si>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</si>
  <si>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</si>
  <si>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</si>
  <si>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</si>
  <si>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</si>
  <si>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</si>
  <si>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</si>
  <si>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</si>
  <si>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</si>
  <si>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</si>
  <si>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</si>
  <si>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</si>
  <si>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</si>
  <si>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</si>
  <si>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</si>
  <si>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</si>
  <si>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</si>
  <si>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</si>
  <si>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</si>
  <si>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</si>
  <si>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</si>
  <si>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</si>
  <si>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</si>
  <si>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</si>
  <si>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</si>
  <si>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</si>
  <si>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</si>
  <si>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</si>
  <si>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</si>
  <si>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</si>
  <si>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</si>
  <si>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</si>
  <si>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</si>
  <si>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</si>
  <si>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</si>
  <si>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</si>
  <si>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</si>
  <si>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</si>
  <si>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</si>
  <si>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</si>
  <si>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</si>
  <si>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</si>
  <si>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</si>
  <si>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</si>
  <si>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</si>
  <si>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</si>
  <si>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</si>
  <si>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</si>
  <si>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</si>
  <si>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</si>
  <si>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</si>
  <si>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</si>
  <si>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</si>
  <si>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</si>
  <si>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</si>
  <si>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</si>
  <si>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</si>
  <si>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</si>
  <si>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</si>
  <si>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</si>
  <si>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</si>
  <si>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</si>
  <si>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</si>
  <si>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</si>
  <si>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</si>
  <si>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</si>
  <si>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</si>
  <si>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</si>
  <si>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</si>
  <si>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</si>
  <si>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</si>
  <si>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</si>
  <si>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</si>
  <si>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</si>
  <si>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</si>
  <si>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</si>
  <si>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</si>
  <si>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</si>
  <si>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</si>
  <si>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</si>
  <si>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</si>
  <si>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</si>
  <si>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</si>
  <si>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</si>
  <si>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</si>
  <si>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</si>
  <si>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</si>
  <si>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</si>
  <si>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</si>
  <si>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</si>
  <si>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</si>
  <si>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</si>
  <si>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</si>
  <si>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</si>
  <si>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</si>
  <si>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</si>
  <si>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</si>
  <si>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</si>
  <si>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</si>
  <si>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</si>
  <si>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</si>
  <si>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</si>
  <si>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</si>
  <si>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</si>
  <si>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</si>
  <si>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</si>
  <si>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</si>
  <si>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</si>
  <si>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</si>
  <si>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</si>
  <si>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</si>
  <si>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</si>
  <si>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</si>
  <si>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</si>
  <si>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</si>
  <si>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</si>
  <si>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</si>
  <si>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</si>
  <si>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</si>
  <si>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</si>
  <si>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</si>
  <si>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</si>
  <si>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</si>
  <si>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</si>
  <si>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</si>
  <si>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</si>
  <si>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</si>
  <si>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</si>
  <si>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</si>
  <si>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</si>
  <si>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</si>
  <si>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</si>
  <si>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</si>
  <si>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</si>
  <si>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</si>
  <si>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</si>
  <si>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</si>
  <si>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</si>
  <si>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</si>
  <si>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</si>
  <si>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</si>
  <si>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</si>
  <si>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</si>
  <si>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</si>
  <si>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</si>
  <si>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</si>
  <si>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</si>
  <si>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</si>
  <si>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</si>
  <si>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</si>
  <si>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</si>
  <si>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</si>
  <si>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</si>
  <si>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</si>
  <si>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</si>
  <si>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</si>
  <si>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</si>
  <si>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</si>
  <si>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</si>
  <si>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</si>
  <si>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</si>
  <si>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</si>
  <si>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</si>
  <si>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</si>
  <si>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</si>
  <si>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</si>
  <si>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</si>
  <si>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</si>
  <si>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</si>
  <si>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</si>
  <si>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</si>
  <si>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</si>
  <si>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</si>
  <si>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</si>
  <si>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</si>
  <si>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</si>
  <si>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</si>
  <si>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</si>
  <si>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</si>
  <si>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</si>
  <si>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</si>
  <si>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</si>
  <si>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</si>
  <si>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</si>
  <si>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</si>
  <si>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</si>
  <si>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</si>
  <si>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</si>
  <si>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</si>
  <si>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</si>
  <si>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</si>
  <si>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</si>
  <si>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</si>
  <si>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</si>
  <si>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</si>
  <si>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</si>
  <si>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</si>
  <si>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</si>
  <si>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</si>
  <si>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</si>
  <si>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</si>
  <si>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</si>
  <si>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</si>
  <si>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</si>
  <si>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</si>
  <si>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</si>
  <si>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</si>
  <si>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</si>
  <si>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</si>
  <si>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</si>
  <si>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</si>
  <si>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</si>
  <si>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</si>
  <si>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</si>
  <si>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</si>
  <si>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</si>
  <si>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</si>
  <si>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</si>
  <si>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</si>
  <si>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</si>
  <si>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</si>
  <si>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</si>
  <si>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</si>
  <si>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</si>
  <si>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</si>
  <si>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</si>
  <si>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</si>
  <si>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</si>
  <si>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</si>
  <si>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</si>
  <si>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</si>
  <si>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</si>
  <si>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</si>
  <si>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</si>
  <si>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</si>
  <si>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</si>
  <si>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</si>
  <si>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</si>
  <si>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</si>
  <si>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</si>
  <si>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</si>
  <si>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</si>
  <si>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</si>
  <si>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</si>
  <si>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</si>
  <si>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</si>
  <si>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</si>
  <si>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</si>
  <si>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</si>
  <si>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</si>
  <si>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</si>
  <si>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</si>
  <si>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</si>
  <si>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</si>
  <si>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</si>
  <si>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</si>
  <si>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</si>
  <si>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</si>
  <si>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</si>
  <si>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</si>
  <si>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</si>
  <si>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</si>
  <si>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</si>
  <si>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</si>
  <si>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</si>
  <si>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</si>
  <si>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</si>
  <si>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</si>
  <si>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</si>
  <si>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</si>
  <si>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</si>
  <si>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</si>
  <si>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</si>
  <si>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</si>
  <si>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</si>
  <si>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</si>
  <si>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</si>
  <si>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</si>
  <si>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</si>
  <si>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</si>
  <si>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</si>
  <si>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</si>
  <si>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</si>
  <si>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</si>
  <si>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</si>
  <si>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</si>
  <si>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</si>
  <si>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</si>
  <si>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</si>
  <si>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</si>
  <si>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</si>
  <si>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</si>
  <si>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</si>
  <si>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</si>
  <si>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</si>
  <si>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</si>
  <si>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</si>
  <si>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</si>
  <si>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</si>
  <si>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</si>
  <si>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</si>
  <si>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</si>
  <si>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</si>
  <si>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</si>
  <si>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</si>
  <si>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</si>
  <si>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</si>
  <si>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</si>
  <si>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</si>
  <si>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</si>
  <si>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</si>
  <si>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</si>
  <si>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</si>
  <si>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</si>
  <si>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</si>
  <si>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</si>
  <si>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</si>
  <si>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</si>
  <si>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</si>
  <si>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</si>
  <si>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</si>
  <si>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</si>
  <si>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</si>
  <si>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</si>
  <si>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</si>
  <si>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</si>
  <si>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</si>
  <si>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</si>
  <si>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</si>
  <si>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</si>
  <si>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</si>
  <si>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</si>
  <si>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</si>
  <si>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</si>
  <si>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</si>
  <si>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</si>
  <si>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</si>
  <si>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</si>
  <si>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</si>
  <si>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</si>
  <si>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</si>
  <si>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</si>
  <si>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</si>
  <si>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</si>
  <si>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</si>
  <si>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</si>
  <si>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</si>
  <si>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</si>
  <si>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</si>
  <si>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</si>
  <si>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</si>
  <si>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</si>
  <si>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</si>
  <si>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</si>
  <si>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</si>
  <si>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</si>
  <si>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</si>
  <si>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</si>
  <si>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</si>
  <si>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</si>
  <si>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</si>
  <si>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</si>
  <si>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</si>
  <si>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</si>
  <si>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</si>
  <si>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</si>
  <si>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</si>
  <si>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</si>
  <si>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</si>
  <si>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</si>
  <si>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</si>
  <si>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</si>
  <si>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</si>
  <si>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</si>
  <si>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</si>
  <si>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</si>
  <si>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</si>
  <si>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</si>
  <si>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</si>
  <si>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</si>
  <si>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</si>
  <si>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</si>
  <si>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</si>
  <si>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</si>
  <si>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</si>
  <si>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</si>
  <si>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</si>
  <si>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</si>
  <si>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</si>
  <si>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</si>
  <si>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</si>
  <si>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</si>
  <si>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</si>
  <si>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</si>
  <si>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</si>
  <si>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</si>
  <si>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</si>
  <si>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</si>
  <si>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</si>
  <si>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</si>
  <si>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</si>
  <si>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</si>
  <si>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</si>
  <si>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</si>
  <si>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</si>
  <si>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</si>
  <si>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</si>
  <si>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</si>
  <si>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</si>
  <si>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</si>
  <si>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</si>
  <si>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</si>
  <si>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</si>
  <si>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</si>
  <si>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</si>
  <si>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</si>
  <si>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</si>
  <si>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</si>
  <si>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</si>
  <si>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</si>
  <si>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</si>
  <si>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</si>
  <si>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</si>
  <si>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</si>
  <si>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</si>
  <si>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</si>
  <si>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</si>
  <si>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</si>
  <si>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</si>
  <si>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</si>
  <si>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</si>
  <si>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</si>
  <si>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</si>
  <si>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</si>
  <si>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</si>
  <si>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</si>
  <si>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</si>
  <si>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</si>
  <si>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</si>
  <si>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</si>
  <si>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</si>
  <si>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</si>
  <si>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</si>
  <si>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</si>
  <si>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</si>
  <si>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</si>
  <si>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</si>
  <si>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</si>
  <si>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</si>
  <si>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</si>
  <si>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</si>
  <si>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</si>
  <si>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</si>
  <si>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</si>
  <si>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</si>
  <si>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</si>
  <si>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</si>
  <si>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</si>
  <si>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</si>
  <si>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</si>
  <si>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</si>
  <si>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</si>
  <si>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</si>
  <si>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</si>
  <si>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</si>
  <si>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</si>
  <si>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</si>
  <si>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</si>
  <si>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</si>
  <si>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</si>
  <si>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</si>
  <si>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</si>
  <si>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</si>
  <si>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</si>
  <si>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</si>
  <si>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</si>
  <si>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</si>
  <si>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</si>
  <si>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</si>
  <si>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</si>
  <si>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</si>
  <si>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</si>
  <si>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</si>
  <si>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</si>
  <si>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</si>
  <si>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</si>
  <si>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</si>
  <si>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</si>
  <si>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</si>
  <si>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</si>
  <si>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</si>
  <si>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</si>
  <si>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</si>
  <si>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</si>
  <si>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</si>
  <si>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</si>
  <si>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</si>
  <si>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</si>
  <si>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</si>
  <si>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</si>
  <si>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</si>
  <si>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</si>
  <si>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</si>
  <si>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</si>
  <si>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</si>
  <si>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</si>
  <si>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</si>
  <si>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</si>
  <si>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</si>
  <si>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</si>
  <si>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</si>
  <si>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</si>
  <si>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</si>
  <si>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</si>
  <si>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</si>
  <si>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</si>
  <si>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</si>
  <si>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</si>
  <si>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</si>
  <si>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</si>
  <si>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</si>
  <si>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</si>
  <si>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</si>
  <si>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</si>
  <si>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</si>
  <si>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</si>
  <si>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</si>
  <si>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</si>
  <si>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</si>
  <si>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</si>
  <si>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</si>
  <si>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</si>
  <si>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</si>
  <si>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</si>
  <si>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</si>
  <si>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</si>
  <si>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</si>
  <si>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</si>
  <si>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</si>
  <si>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</si>
  <si>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</si>
  <si>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</si>
  <si>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</si>
  <si>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</si>
  <si>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</si>
  <si>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</si>
  <si>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</si>
  <si>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</si>
  <si>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</si>
  <si>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</si>
  <si>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</si>
  <si>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</si>
  <si>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</si>
  <si>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</si>
  <si>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</si>
  <si>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</si>
  <si>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</si>
  <si>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</si>
  <si>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</si>
  <si>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</si>
  <si>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</si>
  <si>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</si>
  <si>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</si>
  <si>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</si>
  <si>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</si>
  <si>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</si>
  <si>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</si>
  <si>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</si>
  <si>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</si>
  <si>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</si>
  <si>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</si>
  <si>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</si>
  <si>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</si>
  <si>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</si>
  <si>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</si>
  <si>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</si>
  <si>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</si>
  <si>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</si>
  <si>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</si>
  <si>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</si>
  <si>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</si>
  <si>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</si>
  <si>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</si>
  <si>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</si>
  <si>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</si>
  <si>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</si>
  <si>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</si>
  <si>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</si>
  <si>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</si>
  <si>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</si>
  <si>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</si>
  <si>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</si>
  <si>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</si>
  <si>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</si>
  <si>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</si>
  <si>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</si>
  <si>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</si>
  <si>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</si>
  <si>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</si>
  <si>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</si>
  <si>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</si>
  <si>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</si>
  <si>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</si>
  <si>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</si>
  <si>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</si>
  <si>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</si>
  <si>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</si>
  <si>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</si>
  <si>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</si>
  <si>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</si>
  <si>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</si>
  <si>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</si>
  <si>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</si>
  <si>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</si>
  <si>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</si>
  <si>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</si>
  <si>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</si>
  <si>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</si>
  <si>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</si>
  <si>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</si>
  <si>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</si>
  <si>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</si>
  <si>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</si>
  <si>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</si>
  <si>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</si>
  <si>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</si>
  <si>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</si>
  <si>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</si>
  <si>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</si>
  <si>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</si>
  <si>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</si>
  <si>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</si>
  <si>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</si>
  <si>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</si>
  <si>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</si>
  <si>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</si>
  <si>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</si>
  <si>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</si>
  <si>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</si>
  <si>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</si>
  <si>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</si>
  <si>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</si>
  <si>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</si>
  <si>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</si>
  <si>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</si>
  <si>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</si>
  <si>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</si>
  <si>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</si>
  <si>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</si>
  <si>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</si>
  <si>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</si>
  <si>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</si>
  <si>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</si>
  <si>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</si>
  <si>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</si>
  <si>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</si>
  <si>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</si>
  <si>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</si>
  <si>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</si>
  <si>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</si>
  <si>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</si>
  <si>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</si>
  <si>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</si>
  <si>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</si>
  <si>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</si>
  <si>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</si>
  <si>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</si>
  <si>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</si>
  <si>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</si>
  <si>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</si>
  <si>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</si>
  <si>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</si>
  <si>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</si>
  <si>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</si>
  <si>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</si>
  <si>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</si>
  <si>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</si>
  <si>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</si>
  <si>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</si>
  <si>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</si>
  <si>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</si>
  <si>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</si>
  <si>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</si>
  <si>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</si>
  <si>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</si>
  <si>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</si>
  <si>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</si>
  <si>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</si>
  <si>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</si>
  <si>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</si>
  <si>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</si>
  <si>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</si>
  <si>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</si>
  <si>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</si>
  <si>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</si>
  <si>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</si>
  <si>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</si>
  <si>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</si>
  <si>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</si>
  <si>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</si>
  <si>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</si>
  <si>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</si>
  <si>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</si>
  <si>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</si>
  <si>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</si>
  <si>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</si>
  <si>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</si>
  <si>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</si>
  <si>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</si>
  <si>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</si>
  <si>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</si>
  <si>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</si>
  <si>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</si>
  <si>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</si>
  <si>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</si>
  <si>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</si>
  <si>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</si>
  <si>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</si>
  <si>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</si>
  <si>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</si>
  <si>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</si>
  <si>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</si>
  <si>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</si>
  <si>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</si>
  <si>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</si>
  <si>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</si>
  <si>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</si>
  <si>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</si>
  <si>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</si>
  <si>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</si>
  <si>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</si>
  <si>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</si>
  <si>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</si>
  <si>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</si>
  <si>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</si>
  <si>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</si>
  <si>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</si>
  <si>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</si>
  <si>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</si>
  <si>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</si>
  <si>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</si>
  <si>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</si>
  <si>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</si>
  <si>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</si>
  <si>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</si>
  <si>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</si>
  <si>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</si>
  <si>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</si>
  <si>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</si>
  <si>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</si>
  <si>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</si>
  <si>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</si>
  <si>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</si>
  <si>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</si>
  <si>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</si>
  <si>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</si>
  <si>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</si>
  <si>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</si>
  <si>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</si>
  <si>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</si>
  <si>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</si>
  <si>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</si>
  <si>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</si>
  <si>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</si>
  <si>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</si>
  <si>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</si>
  <si>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</si>
  <si>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</si>
  <si>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</si>
  <si>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</si>
  <si>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</si>
  <si>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</si>
  <si>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</si>
  <si>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</si>
  <si>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</si>
  <si>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</si>
  <si>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</si>
  <si>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</si>
  <si>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</si>
  <si>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</si>
  <si>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</si>
  <si>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</si>
  <si>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</si>
  <si>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</si>
  <si>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</si>
  <si>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</si>
  <si>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</si>
  <si>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</si>
  <si>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</si>
  <si>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</si>
  <si>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</si>
  <si>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</si>
  <si>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</si>
  <si>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</si>
  <si>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</si>
  <si>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</si>
  <si>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</si>
  <si>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</si>
  <si>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</si>
  <si>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</si>
  <si>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</si>
  <si>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</si>
  <si>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</si>
  <si>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</si>
  <si>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</si>
  <si>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</si>
  <si>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</si>
  <si>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</si>
  <si>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</si>
  <si>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</si>
  <si>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</si>
  <si>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</si>
  <si>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</si>
  <si>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</si>
  <si>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</si>
  <si>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</si>
  <si>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</si>
  <si>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</si>
  <si>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</si>
  <si>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</si>
  <si>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</si>
  <si>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</si>
  <si>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</si>
  <si>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</si>
  <si>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</si>
  <si>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</si>
  <si>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</si>
  <si>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</si>
  <si>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</si>
  <si>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</si>
  <si>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</si>
  <si>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</si>
  <si>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</si>
  <si>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</si>
  <si>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</si>
  <si>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</si>
  <si>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</si>
  <si>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</si>
  <si>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</si>
  <si>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</si>
  <si>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</si>
  <si>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</si>
  <si>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</si>
  <si>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</si>
  <si>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</si>
  <si>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</si>
  <si>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</si>
  <si>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</si>
  <si>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</si>
  <si>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</si>
  <si>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</si>
  <si>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</si>
  <si>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</si>
  <si>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</si>
  <si>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</si>
  <si>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</si>
  <si>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</si>
  <si>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</si>
  <si>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</si>
  <si>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</si>
  <si>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</si>
  <si>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</si>
  <si>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</si>
  <si>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</si>
  <si>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</si>
  <si>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</si>
  <si>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</si>
  <si>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</si>
  <si>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</si>
  <si>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</si>
  <si>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</si>
  <si>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</si>
  <si>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</si>
  <si>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</si>
  <si>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</si>
  <si>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</si>
  <si>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</si>
  <si>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</si>
  <si>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</si>
  <si>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</si>
  <si>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</si>
  <si>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</si>
  <si>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</si>
  <si>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</si>
  <si>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</si>
  <si>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</si>
  <si>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</si>
  <si>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</si>
  <si>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</si>
  <si>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</si>
  <si>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</si>
  <si>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</si>
  <si>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</si>
  <si>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</si>
  <si>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</si>
  <si>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</si>
  <si>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</si>
  <si>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</si>
  <si>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</si>
  <si>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</si>
  <si>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</si>
  <si>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</si>
  <si>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</si>
  <si>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</si>
  <si>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</si>
  <si>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</si>
  <si>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</si>
  <si>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</si>
  <si>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</si>
  <si>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</si>
  <si>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</si>
  <si>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</si>
  <si>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</si>
  <si>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</si>
  <si>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</si>
  <si>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</si>
  <si>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</si>
  <si>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</si>
  <si>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</si>
  <si>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</si>
  <si>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</si>
  <si>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</si>
  <si>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</si>
  <si>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</si>
  <si>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</si>
  <si>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</si>
  <si>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</si>
  <si>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</si>
  <si>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</si>
  <si>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</si>
  <si>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</si>
  <si>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</si>
  <si>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</si>
  <si>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</si>
  <si>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</si>
  <si>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</si>
  <si>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</si>
  <si>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</si>
  <si>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</si>
  <si>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</si>
  <si>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</si>
  <si>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</si>
  <si>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</si>
  <si>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</si>
  <si>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</si>
  <si>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</si>
  <si>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</si>
  <si>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</si>
  <si>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</si>
  <si>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</si>
  <si>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</si>
  <si>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</si>
  <si>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</si>
  <si>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</si>
  <si>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</si>
  <si>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</si>
  <si>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</si>
  <si>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</si>
  <si>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</si>
  <si>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</si>
  <si>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</si>
  <si>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</si>
  <si>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</si>
  <si>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</si>
  <si>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</si>
  <si>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</si>
  <si>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</si>
  <si>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</si>
  <si>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</si>
  <si>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</si>
  <si>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</si>
  <si>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</si>
  <si>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</si>
  <si>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</si>
  <si>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</si>
  <si>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</si>
  <si>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</si>
  <si>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</si>
  <si>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</si>
  <si>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</si>
  <si>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</si>
  <si>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</si>
  <si>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</si>
  <si>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</si>
  <si>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</si>
  <si>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</si>
  <si>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</si>
  <si>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</si>
  <si>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</si>
  <si>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</si>
  <si>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</si>
  <si>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</si>
  <si>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</si>
  <si>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</si>
  <si>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</si>
  <si>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</si>
  <si>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</si>
  <si>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</si>
  <si>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</si>
  <si>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</si>
  <si>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</si>
  <si>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</si>
  <si>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</si>
  <si>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</si>
  <si>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</si>
  <si>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</si>
  <si>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</si>
  <si>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</si>
  <si>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</si>
  <si>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</si>
  <si>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</si>
  <si>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</si>
  <si>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</si>
  <si>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</si>
  <si>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</si>
  <si>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</si>
  <si>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</si>
  <si>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</si>
  <si>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</si>
  <si>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</si>
  <si>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</si>
  <si>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</si>
  <si>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</si>
  <si>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</si>
  <si>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</si>
  <si>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</si>
  <si>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</si>
  <si>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</si>
  <si>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</si>
  <si>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</si>
  <si>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</si>
  <si>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</si>
  <si>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</si>
  <si>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</si>
  <si>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</si>
  <si>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</si>
  <si>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</si>
  <si>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</si>
  <si>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</si>
  <si>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</si>
  <si>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</si>
  <si>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</si>
  <si>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</si>
  <si>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</si>
  <si>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</si>
  <si>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</si>
  <si>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</si>
  <si>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</si>
  <si>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</si>
  <si>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</si>
  <si>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</si>
  <si>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</si>
  <si>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</si>
  <si>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</si>
  <si>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</si>
  <si>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</si>
  <si>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</si>
  <si>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</si>
  <si>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</si>
  <si>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</si>
  <si>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</si>
  <si>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</si>
  <si>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</si>
  <si>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</si>
  <si>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</si>
  <si>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</si>
  <si>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</si>
  <si>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</si>
  <si>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</si>
  <si>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</si>
  <si>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</si>
  <si>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</si>
  <si>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</si>
  <si>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</si>
  <si>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</si>
  <si>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</si>
  <si>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</si>
  <si>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</si>
  <si>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</si>
  <si>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</si>
  <si>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</si>
  <si>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</si>
  <si>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</si>
  <si>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</si>
  <si>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</si>
  <si>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</si>
  <si>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</si>
  <si>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</si>
  <si>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</si>
  <si>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</si>
  <si>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</si>
  <si>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</si>
  <si>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</si>
  <si>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</si>
  <si>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</si>
  <si>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</si>
  <si>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</si>
  <si>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</si>
  <si>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</si>
  <si>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</si>
  <si>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</si>
  <si>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</si>
  <si>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</si>
  <si>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</si>
  <si>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</si>
  <si>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</si>
  <si>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</si>
  <si>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</si>
  <si>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</si>
  <si>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</si>
  <si>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</si>
  <si>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</si>
  <si>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</si>
  <si>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</si>
  <si>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</si>
  <si>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</si>
  <si>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</si>
  <si>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</si>
  <si>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</si>
  <si>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</si>
  <si>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</si>
  <si>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</si>
  <si>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</si>
  <si>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</si>
  <si>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</si>
  <si>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</si>
  <si>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</si>
  <si>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</si>
  <si>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</si>
  <si>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</si>
  <si>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</si>
  <si>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</si>
  <si>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</si>
  <si>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</si>
  <si>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</si>
  <si>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</si>
  <si>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</si>
  <si>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</si>
  <si>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</si>
  <si>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</si>
  <si>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</si>
  <si>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</si>
  <si>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</si>
  <si>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</si>
  <si>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</si>
  <si>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</si>
  <si>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</si>
  <si>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</si>
  <si>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</si>
  <si>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</si>
  <si>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</si>
  <si>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</si>
  <si>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</si>
  <si>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</si>
  <si>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</si>
  <si>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</si>
  <si>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</si>
  <si>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</si>
  <si>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</si>
  <si>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</si>
  <si>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</si>
  <si>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</si>
  <si>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</si>
  <si>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</si>
  <si>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</si>
  <si>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</si>
  <si>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</si>
  <si>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</si>
  <si>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</si>
  <si>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</si>
  <si>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</si>
  <si>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</si>
  <si>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</si>
  <si>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</si>
  <si>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</si>
  <si>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</si>
  <si>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</si>
  <si>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</si>
  <si>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</si>
  <si>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</si>
  <si>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</si>
  <si>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</si>
  <si>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</si>
  <si>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</si>
  <si>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</si>
  <si>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</si>
  <si>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</si>
  <si>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</si>
  <si>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</si>
  <si>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</si>
  <si>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</si>
  <si>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</si>
  <si>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</si>
  <si>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</si>
  <si>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</si>
  <si>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</si>
  <si>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</si>
  <si>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</si>
  <si>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</si>
  <si>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</si>
  <si>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</si>
  <si>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</si>
  <si>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</si>
  <si>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</si>
  <si>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</si>
  <si>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</si>
  <si>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</si>
  <si>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</si>
  <si>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</si>
  <si>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</si>
  <si>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</si>
  <si>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</si>
  <si>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</si>
  <si>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</si>
  <si>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</si>
  <si>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</si>
  <si>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</si>
  <si>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</si>
  <si>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</si>
  <si>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</si>
  <si>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</si>
  <si>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</si>
  <si>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</si>
  <si>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</si>
  <si>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</si>
  <si>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</si>
  <si>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</si>
  <si>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</si>
  <si>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</si>
  <si>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</si>
  <si>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</si>
  <si>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</si>
  <si>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</si>
  <si>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</si>
  <si>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</si>
  <si>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</si>
  <si>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</si>
  <si>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</si>
  <si>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</si>
  <si>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</si>
  <si>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</si>
  <si>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</si>
  <si>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</si>
  <si>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</si>
  <si>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</si>
  <si>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</si>
  <si>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</si>
  <si>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</si>
  <si>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</si>
  <si>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</si>
  <si>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</si>
  <si>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</si>
  <si>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</si>
  <si>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</si>
  <si>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</si>
  <si>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</si>
  <si>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</si>
  <si>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</si>
  <si>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</si>
  <si>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</si>
  <si>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</si>
  <si>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</si>
  <si>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</si>
  <si>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</si>
  <si>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</si>
  <si>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</si>
  <si>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</si>
  <si>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</si>
  <si>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</si>
  <si>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</si>
  <si>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</si>
  <si>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</si>
  <si>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</si>
  <si>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</si>
  <si>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</si>
  <si>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</si>
  <si>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</si>
  <si>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</si>
  <si>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</si>
  <si>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</si>
  <si>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</si>
  <si>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</si>
  <si>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</si>
  <si>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</si>
  <si>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</si>
  <si>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</si>
  <si>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</si>
  <si>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</si>
  <si>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</si>
  <si>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</si>
  <si>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</si>
  <si>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</si>
  <si>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</si>
  <si>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</si>
  <si>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</si>
  <si>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</si>
  <si>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</si>
  <si>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</si>
  <si>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</si>
  <si>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</si>
  <si>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</si>
  <si>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</si>
  <si>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</si>
  <si>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</si>
  <si>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</si>
  <si>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</si>
  <si>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</si>
  <si>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</si>
  <si>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</si>
  <si>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</si>
  <si>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</si>
  <si>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</si>
  <si>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</si>
  <si>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</si>
  <si>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</si>
  <si>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</si>
  <si>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</si>
  <si>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</si>
  <si>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</si>
  <si>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</si>
  <si>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</si>
  <si>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</si>
  <si>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</si>
  <si>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</si>
  <si>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</si>
  <si>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</si>
  <si>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</si>
  <si>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</si>
  <si>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</si>
  <si>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</si>
  <si>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</si>
  <si>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</si>
  <si>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</si>
  <si>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</si>
  <si>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</si>
  <si>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</si>
  <si>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</si>
  <si>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</si>
  <si>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</si>
  <si>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</si>
  <si>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</si>
  <si>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</si>
  <si>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</si>
  <si>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</si>
  <si>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</si>
  <si>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</si>
  <si>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</si>
  <si>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</si>
  <si>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</si>
  <si>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</si>
  <si>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</si>
  <si>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</si>
  <si>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</si>
  <si>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</si>
  <si>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</si>
  <si>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</si>
  <si>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</si>
  <si>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</si>
  <si>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</si>
  <si>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</si>
  <si>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</si>
  <si>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</si>
  <si>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</si>
  <si>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</si>
  <si>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</si>
  <si>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</si>
  <si>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</si>
  <si>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</si>
  <si>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</si>
  <si>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</si>
  <si>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</si>
  <si>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</si>
  <si>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</si>
  <si>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</si>
  <si>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</si>
  <si>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</si>
  <si>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</si>
  <si>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</si>
  <si>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</si>
  <si>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</si>
  <si>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</si>
  <si>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</si>
  <si>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</si>
  <si>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</si>
  <si>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</si>
  <si>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</si>
  <si>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</si>
  <si>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</si>
  <si>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</si>
  <si>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</si>
  <si>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</si>
  <si>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</si>
  <si>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</si>
  <si>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</si>
  <si>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</si>
  <si>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</si>
  <si>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</si>
  <si>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</si>
  <si>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</si>
  <si>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</si>
  <si>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</si>
  <si>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</si>
  <si>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</si>
  <si>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</si>
  <si>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</si>
  <si>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</si>
  <si>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</si>
  <si>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</si>
  <si>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</si>
  <si>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</si>
  <si>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</si>
  <si>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</si>
  <si>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</si>
  <si>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</si>
  <si>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</si>
  <si>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</si>
  <si>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</si>
  <si>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</si>
  <si>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</si>
  <si>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</si>
  <si>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</si>
  <si>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</si>
  <si>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</si>
  <si>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</si>
  <si>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</si>
  <si>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</si>
  <si>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</si>
  <si>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</si>
  <si>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</si>
  <si>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</si>
  <si>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</si>
  <si>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</si>
  <si>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</si>
  <si>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</si>
  <si>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</si>
  <si>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</si>
  <si>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</si>
  <si>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</si>
  <si>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</si>
  <si>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</si>
  <si>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</si>
  <si>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</si>
  <si>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</si>
  <si>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</si>
  <si>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</si>
  <si>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</si>
  <si>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</si>
  <si>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</si>
  <si>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</si>
  <si>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</si>
  <si>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</si>
  <si>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</si>
  <si>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</si>
  <si>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</si>
  <si>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</si>
  <si>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</si>
  <si>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</si>
  <si>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</si>
  <si>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</si>
  <si>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</si>
  <si>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</si>
  <si>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</si>
  <si>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</si>
  <si>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</si>
  <si>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</si>
  <si>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</si>
  <si>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</si>
  <si>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</si>
  <si>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</si>
  <si>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</si>
  <si>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</si>
  <si>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</si>
  <si>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</si>
  <si>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</si>
  <si>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</si>
  <si>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</si>
  <si>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</si>
  <si>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</si>
  <si>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</si>
  <si>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</si>
  <si>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</si>
  <si>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</si>
  <si>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</si>
  <si>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</si>
  <si>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</si>
  <si>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</si>
  <si>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</si>
  <si>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</si>
  <si>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</si>
  <si>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</si>
  <si>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</si>
  <si>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</si>
  <si>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</si>
  <si>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</si>
  <si>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</si>
  <si>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</si>
  <si>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</si>
  <si>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</si>
  <si>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</si>
  <si>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</si>
  <si>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</si>
  <si>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</si>
  <si>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</si>
  <si>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</si>
  <si>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</si>
  <si>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</si>
  <si>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</si>
  <si>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</si>
  <si>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</si>
  <si>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</si>
  <si>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</si>
  <si>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</si>
  <si>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</si>
  <si>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</si>
  <si>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</si>
  <si>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</si>
  <si>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</si>
  <si>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</si>
  <si>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</si>
  <si>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</si>
  <si>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</si>
  <si>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</si>
  <si>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</si>
  <si>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</si>
  <si>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</si>
  <si>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</si>
  <si>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</si>
  <si>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</si>
  <si>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</si>
  <si>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</si>
  <si>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</si>
  <si>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</si>
  <si>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</si>
  <si>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</si>
  <si>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</si>
  <si>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</si>
  <si>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</si>
  <si>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</si>
  <si>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</si>
  <si>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</si>
  <si>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</si>
  <si>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</si>
  <si>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</si>
  <si>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</si>
  <si>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</si>
  <si>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</si>
  <si>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</si>
  <si>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</si>
  <si>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</si>
  <si>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</si>
  <si>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</si>
  <si>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</si>
  <si>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</si>
  <si>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</si>
  <si>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</si>
  <si>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</si>
  <si>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</si>
  <si>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</si>
  <si>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</si>
  <si>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</si>
  <si>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</si>
  <si>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</si>
  <si>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</si>
  <si>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</si>
  <si>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</si>
  <si>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</si>
  <si>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</si>
  <si>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</si>
  <si>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</si>
  <si>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</si>
  <si>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</si>
  <si>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</si>
  <si>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</si>
  <si>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</si>
  <si>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</si>
  <si>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</si>
  <si>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</si>
  <si>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</si>
  <si>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</si>
  <si>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</si>
  <si>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</si>
  <si>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</si>
  <si>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</si>
  <si>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</si>
  <si>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</si>
  <si>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</si>
  <si>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</si>
  <si>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</si>
  <si>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</si>
  <si>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</si>
  <si>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</si>
  <si>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</si>
  <si>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</si>
  <si>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</si>
  <si>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</si>
  <si>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</si>
  <si>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</si>
  <si>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</si>
  <si>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</si>
  <si>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</si>
  <si>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</si>
  <si>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</si>
  <si>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</si>
  <si>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</si>
  <si>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</si>
  <si>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</si>
  <si>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</si>
  <si>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</si>
  <si>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</si>
  <si>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</si>
  <si>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</si>
  <si>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</si>
  <si>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</si>
  <si>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</si>
  <si>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</si>
  <si>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</si>
  <si>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</si>
  <si>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</si>
  <si>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</si>
  <si>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</si>
  <si>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</si>
  <si>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</si>
  <si>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</si>
  <si>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</si>
  <si>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</si>
  <si>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</si>
  <si>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</si>
  <si>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</si>
  <si>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</si>
  <si>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</si>
  <si>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</si>
  <si>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</si>
  <si>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</si>
  <si>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</si>
  <si>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</si>
  <si>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</si>
  <si>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</si>
  <si>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</si>
  <si>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</si>
  <si>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</si>
  <si>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</si>
  <si>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</si>
  <si>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</si>
  <si>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</si>
  <si>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</si>
  <si>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</si>
  <si>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</si>
  <si>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</si>
  <si>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</si>
  <si>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</si>
  <si>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</si>
  <si>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</si>
  <si>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</si>
  <si>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</si>
  <si>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</si>
  <si>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</si>
  <si>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</si>
  <si>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</si>
  <si>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</si>
  <si>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</si>
  <si>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</si>
  <si>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</si>
  <si>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</si>
  <si>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</si>
  <si>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</si>
  <si>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</si>
  <si>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</si>
  <si>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</si>
  <si>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</si>
  <si>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</si>
  <si>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</si>
  <si>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</si>
  <si>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</si>
  <si>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</si>
  <si>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</si>
  <si>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</si>
  <si>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</si>
  <si>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</si>
  <si>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</si>
  <si>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</si>
  <si>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</si>
  <si>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</si>
  <si>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</si>
  <si>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</si>
  <si>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</si>
  <si>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</si>
  <si>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</si>
  <si>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</si>
  <si>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</si>
  <si>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</si>
  <si>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</si>
  <si>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</si>
  <si>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</si>
  <si>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</si>
  <si>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</si>
  <si>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</si>
  <si>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</si>
  <si>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</si>
  <si>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</si>
  <si>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</si>
  <si>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</si>
  <si>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</si>
  <si>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</si>
  <si>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</si>
  <si>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</si>
  <si>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</si>
  <si>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</si>
  <si>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</si>
  <si>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</si>
  <si>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</si>
  <si>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</si>
  <si>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</si>
  <si>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</si>
  <si>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</si>
  <si>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</si>
  <si>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</si>
  <si>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</si>
  <si>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</si>
  <si>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</si>
  <si>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</si>
  <si>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</si>
  <si>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</si>
  <si>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</si>
  <si>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</si>
  <si>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</si>
  <si>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</si>
  <si>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</si>
  <si>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</si>
  <si>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</si>
  <si>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</si>
  <si>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</si>
  <si>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</si>
  <si>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</si>
  <si>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</si>
  <si>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</si>
  <si>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</si>
  <si>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</si>
  <si>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</si>
  <si>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</si>
  <si>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</si>
  <si>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</si>
  <si>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</si>
  <si>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</si>
  <si>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</si>
  <si>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</si>
  <si>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</si>
  <si>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</si>
  <si>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</si>
  <si>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</si>
  <si>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</si>
  <si>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</si>
  <si>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</si>
  <si>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</si>
  <si>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</si>
  <si>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</si>
  <si>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</si>
  <si>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</si>
  <si>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</si>
  <si>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</si>
  <si>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</si>
  <si>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</si>
  <si>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</si>
  <si>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</si>
  <si>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</si>
  <si>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</si>
  <si>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</si>
  <si>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</si>
  <si>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</si>
  <si>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</si>
  <si>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</si>
  <si>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</si>
  <si>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</si>
  <si>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</si>
  <si>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</si>
  <si>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</si>
  <si>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</si>
  <si>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</si>
  <si>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</si>
  <si>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</si>
  <si>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</si>
  <si>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</si>
  <si>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</si>
  <si>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</si>
  <si>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</si>
  <si>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</si>
  <si>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</si>
  <si>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</si>
  <si>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</si>
  <si>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</si>
  <si>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</si>
  <si>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</si>
  <si>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</si>
  <si>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</si>
  <si>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</si>
  <si>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</si>
  <si>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</si>
  <si>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</si>
  <si>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</si>
  <si>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</si>
  <si>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</si>
  <si>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</si>
  <si>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</si>
  <si>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</si>
  <si>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</si>
  <si>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</si>
  <si>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</si>
  <si>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</si>
  <si>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</si>
  <si>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</si>
  <si>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</si>
  <si>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</si>
  <si>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</si>
  <si>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</si>
  <si>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</si>
  <si>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</si>
  <si>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</si>
  <si>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</si>
  <si>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</si>
  <si>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</si>
  <si>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</si>
  <si>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</si>
  <si>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</si>
  <si>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</si>
  <si>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</si>
  <si>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</si>
  <si>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</si>
  <si>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</si>
  <si>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</si>
  <si>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</si>
  <si>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</si>
  <si>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</si>
  <si>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</si>
  <si>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</si>
  <si>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</si>
  <si>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</si>
  <si>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</si>
  <si>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</si>
  <si>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</si>
  <si>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</si>
  <si>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</si>
  <si>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</si>
  <si>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</si>
  <si>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</si>
  <si>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</si>
  <si>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</si>
  <si>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</si>
  <si>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</si>
  <si>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</si>
  <si>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</si>
  <si>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</si>
  <si>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</si>
  <si>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</si>
  <si>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</si>
  <si>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</si>
  <si>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</si>
  <si>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</si>
  <si>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</si>
  <si>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</si>
  <si>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</si>
  <si>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</si>
  <si>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</si>
  <si>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</si>
  <si>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</si>
  <si>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</si>
  <si>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</si>
  <si>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</si>
  <si>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</si>
  <si>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</si>
  <si>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</si>
  <si>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</si>
  <si>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</si>
  <si>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</si>
  <si>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</si>
  <si>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</si>
  <si>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</si>
  <si>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</si>
  <si>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</si>
  <si>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</si>
  <si>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</si>
  <si>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</si>
  <si>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</si>
  <si>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</si>
  <si>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</si>
  <si>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</si>
  <si>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</si>
  <si>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</si>
  <si>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</si>
  <si>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</si>
  <si>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</si>
  <si>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</si>
  <si>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</si>
  <si>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</si>
  <si>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</si>
  <si>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</si>
  <si>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</si>
  <si>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</si>
  <si>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</si>
  <si>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</si>
  <si>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</si>
  <si>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</si>
  <si>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</si>
  <si>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</si>
  <si>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</si>
  <si>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</si>
  <si>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</si>
  <si>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</si>
  <si>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</si>
  <si>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</si>
  <si>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</si>
  <si>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</si>
  <si>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</si>
  <si>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</si>
  <si>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</si>
  <si>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</si>
  <si>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</si>
  <si>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</si>
  <si>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</si>
  <si>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</si>
  <si>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</si>
  <si>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</si>
  <si>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</si>
  <si>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</si>
  <si>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</si>
  <si>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</si>
  <si>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</si>
  <si>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</si>
  <si>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</si>
  <si>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</si>
  <si>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</si>
  <si>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</si>
  <si>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</si>
  <si>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</si>
  <si>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</si>
  <si>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</si>
  <si>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</si>
  <si>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</si>
  <si>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</si>
  <si>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</si>
  <si>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</si>
  <si>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</si>
  <si>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</si>
  <si>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</si>
  <si>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</si>
  <si>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</si>
  <si>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</si>
  <si>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</si>
  <si>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</si>
  <si>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</si>
  <si>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</si>
  <si>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</si>
  <si>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</si>
  <si>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</si>
  <si>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</si>
  <si>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</si>
  <si>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</si>
  <si>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</si>
  <si>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</si>
  <si>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</si>
  <si>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</si>
  <si>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</si>
  <si>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</si>
  <si>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</si>
  <si>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</si>
  <si>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</si>
  <si>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</si>
  <si>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</si>
  <si>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</si>
  <si>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</si>
  <si>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</si>
  <si>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</si>
  <si>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</si>
  <si>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</si>
  <si>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</si>
  <si>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</si>
  <si>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</si>
  <si>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</si>
  <si>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</si>
  <si>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</si>
  <si>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</si>
  <si>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</si>
  <si>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</si>
  <si>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</si>
  <si>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</si>
  <si>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</si>
  <si>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</si>
  <si>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</si>
  <si>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</si>
  <si>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</si>
  <si>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</si>
  <si>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</si>
  <si>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</si>
  <si>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</si>
  <si>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</si>
  <si>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</si>
  <si>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</si>
  <si>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</si>
  <si>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</si>
  <si>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</si>
  <si>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</si>
  <si>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</si>
  <si>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</si>
  <si>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</si>
  <si>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</si>
  <si>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</si>
  <si>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</si>
  <si>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</si>
  <si>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</si>
  <si>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</si>
  <si>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</si>
  <si>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</si>
  <si>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</si>
  <si>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</si>
  <si>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</si>
  <si>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</si>
  <si>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</si>
  <si>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</si>
  <si>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</si>
  <si>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</si>
  <si>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</si>
  <si>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</si>
  <si>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</si>
  <si>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</si>
  <si>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</si>
  <si>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</si>
  <si>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</si>
  <si>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</si>
  <si>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</si>
  <si>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</si>
  <si>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</si>
  <si>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</si>
  <si>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</si>
  <si>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</si>
  <si>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</si>
  <si>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</si>
  <si>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</si>
  <si>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</si>
  <si>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</si>
  <si>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</si>
  <si>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</si>
  <si>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</si>
  <si>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</si>
  <si>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</si>
  <si>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</si>
  <si>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</si>
  <si>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</si>
  <si>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</si>
  <si>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</si>
  <si>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</si>
  <si>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</si>
  <si>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</si>
  <si>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</si>
  <si>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</si>
  <si>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</si>
  <si>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</si>
  <si>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</si>
  <si>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</si>
  <si>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</si>
  <si>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</si>
  <si>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</si>
  <si>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</si>
  <si>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</si>
  <si>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</si>
  <si>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</si>
  <si>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</si>
  <si>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</si>
  <si>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</si>
  <si>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</si>
  <si>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</si>
  <si>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</si>
  <si>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</si>
  <si>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</si>
  <si>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</si>
  <si>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</si>
  <si>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</si>
  <si>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</si>
  <si>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</si>
  <si>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</si>
  <si>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</si>
  <si>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</si>
  <si>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</si>
  <si>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</si>
  <si>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</si>
  <si>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</si>
  <si>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</si>
  <si>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</si>
  <si>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</si>
  <si>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</si>
  <si>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</si>
  <si>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</si>
  <si>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</si>
  <si>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</si>
  <si>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</si>
  <si>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</si>
  <si>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</si>
  <si>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</si>
  <si>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</si>
  <si>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</si>
  <si>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</si>
  <si>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</si>
  <si>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</si>
  <si>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</si>
  <si>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</si>
  <si>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</si>
  <si>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</si>
  <si>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</si>
  <si>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</si>
  <si>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</si>
  <si>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</si>
  <si>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</si>
  <si>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</si>
  <si>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</si>
  <si>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</si>
  <si>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</si>
  <si>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</si>
  <si>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</si>
  <si>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</si>
  <si>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</si>
  <si>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</si>
  <si>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</si>
  <si>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</si>
  <si>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</si>
  <si>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</si>
  <si>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</si>
  <si>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</si>
  <si>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</si>
  <si>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</si>
  <si>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</si>
  <si>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</si>
  <si>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</si>
  <si>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</si>
  <si>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</si>
  <si>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</si>
  <si>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</si>
  <si>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</si>
  <si>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</si>
  <si>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</si>
  <si>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</si>
  <si>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</si>
  <si>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</si>
  <si>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</si>
  <si>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</si>
  <si>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</si>
  <si>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</si>
  <si>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</si>
  <si>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</si>
  <si>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</si>
  <si>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</si>
  <si>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</si>
  <si>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</si>
  <si>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</si>
  <si>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</si>
  <si>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</si>
  <si>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</si>
  <si>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</si>
  <si>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</si>
  <si>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</si>
  <si>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</si>
  <si>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</si>
  <si>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</si>
  <si>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</si>
  <si>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</si>
  <si>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</si>
  <si>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</si>
  <si>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</si>
  <si>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</si>
  <si>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</si>
  <si>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</si>
  <si>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</si>
  <si>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</si>
  <si>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</si>
  <si>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</si>
  <si>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</si>
  <si>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</si>
  <si>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</si>
  <si>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</si>
  <si>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</si>
  <si>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</si>
  <si>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</si>
  <si>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</si>
  <si>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</si>
  <si>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</si>
  <si>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</si>
  <si>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</si>
  <si>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</si>
  <si>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</si>
  <si>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</si>
  <si>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</si>
  <si>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</si>
  <si>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</si>
  <si>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</si>
  <si>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</si>
  <si>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</si>
  <si>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</si>
  <si>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</si>
  <si>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</si>
  <si>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</si>
  <si>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</si>
  <si>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</si>
  <si>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</si>
  <si>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</si>
  <si>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</si>
  <si>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</si>
  <si>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</si>
  <si>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</si>
  <si>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</si>
  <si>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</si>
  <si>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</si>
  <si>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</si>
  <si>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</si>
  <si>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</si>
  <si>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</si>
  <si>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</si>
  <si>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</si>
  <si>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</si>
  <si>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</si>
  <si>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</si>
  <si>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</si>
  <si>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</si>
  <si>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</si>
  <si>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</si>
  <si>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</si>
  <si>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</si>
  <si>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</si>
  <si>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</si>
  <si>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</si>
  <si>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</si>
  <si>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</si>
  <si>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</si>
  <si>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</si>
  <si>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</si>
  <si>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</si>
  <si>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</si>
  <si>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</si>
  <si>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</si>
  <si>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</si>
  <si>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</si>
  <si>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</si>
  <si>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</si>
  <si>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</si>
  <si>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</si>
  <si>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</si>
  <si>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</si>
  <si>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</si>
  <si>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</si>
  <si>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</si>
  <si>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</si>
  <si>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</si>
  <si>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</si>
  <si>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</si>
  <si>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</si>
  <si>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</si>
  <si>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</si>
  <si>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</si>
  <si>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</si>
  <si>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</si>
  <si>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</si>
  <si>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</si>
  <si>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</si>
  <si>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</si>
  <si>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</si>
  <si>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</si>
  <si>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</si>
  <si>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</si>
  <si>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</si>
  <si>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</si>
  <si>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</si>
  <si>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</si>
  <si>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</si>
  <si>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</si>
  <si>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</si>
  <si>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</si>
  <si>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</si>
  <si>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</si>
  <si>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</si>
  <si>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</si>
  <si>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</si>
  <si>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</si>
  <si>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</si>
  <si>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</si>
  <si>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</si>
  <si>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</si>
  <si>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</si>
  <si>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</si>
  <si>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</si>
  <si>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</si>
  <si>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</si>
  <si>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</si>
  <si>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</si>
  <si>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</si>
  <si>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</si>
  <si>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</si>
  <si>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</si>
  <si>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</si>
  <si>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</si>
  <si>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</si>
  <si>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</si>
  <si>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</si>
  <si>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</si>
  <si>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</si>
  <si>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</si>
  <si>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</si>
  <si>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</si>
  <si>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</si>
  <si>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</si>
  <si>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</si>
  <si>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</si>
  <si>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</si>
  <si>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</si>
  <si>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</si>
  <si>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</si>
  <si>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</si>
  <si>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</si>
  <si>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</si>
  <si>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</si>
  <si>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</si>
  <si>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</si>
  <si>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</si>
  <si>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</si>
  <si>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</si>
  <si>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</si>
  <si>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</si>
  <si>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</si>
  <si>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</si>
  <si>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</si>
  <si>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</si>
  <si>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</si>
  <si>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</si>
  <si>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</si>
  <si>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</si>
  <si>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</si>
  <si>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</si>
  <si>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</si>
  <si>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</si>
  <si>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</si>
  <si>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</si>
  <si>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</si>
  <si>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</si>
  <si>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</si>
  <si>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</si>
  <si>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</si>
  <si>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</si>
  <si>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</si>
  <si>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</si>
  <si>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</si>
  <si>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</si>
  <si>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</si>
  <si>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</si>
  <si>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</si>
  <si>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</si>
  <si>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</si>
  <si>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</si>
  <si>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</si>
  <si>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</si>
  <si>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</si>
  <si>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</si>
  <si>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</si>
  <si>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</si>
  <si>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</si>
  <si>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</si>
  <si>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</si>
  <si>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</si>
  <si>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</si>
  <si>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</si>
  <si>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</si>
  <si>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</si>
  <si>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</si>
  <si>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</si>
  <si>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</si>
  <si>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</si>
  <si>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</si>
  <si>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</si>
  <si>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</si>
  <si>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</si>
  <si>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</si>
  <si>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</si>
  <si>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</si>
  <si>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</si>
  <si>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</si>
  <si>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</si>
  <si>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</si>
  <si>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</si>
  <si>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</si>
  <si>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</si>
  <si>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</si>
  <si>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</si>
  <si>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</si>
  <si>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</si>
  <si>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</si>
  <si>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</si>
  <si>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</si>
  <si>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</si>
  <si>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</si>
  <si>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</si>
  <si>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</si>
  <si>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</si>
  <si>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</si>
  <si>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</si>
  <si>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</si>
  <si>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</si>
  <si>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</si>
  <si>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</si>
  <si>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</si>
  <si>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</si>
  <si>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</si>
  <si>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</si>
  <si>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</si>
  <si>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</si>
  <si>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</si>
  <si>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</si>
  <si>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</si>
  <si>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</si>
  <si>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</si>
  <si>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</si>
  <si>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</si>
  <si>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</si>
  <si>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</si>
  <si>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</si>
  <si>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</si>
  <si>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</si>
  <si>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</si>
  <si>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</si>
  <si>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</si>
  <si>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</si>
  <si>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</si>
  <si>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</si>
  <si>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</si>
  <si>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</si>
  <si>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</si>
  <si>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</si>
  <si>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</si>
  <si>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</si>
  <si>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</si>
  <si>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</si>
  <si>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</si>
  <si>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</si>
  <si>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</si>
  <si>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</si>
  <si>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</si>
  <si>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</si>
  <si>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</si>
  <si>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</si>
  <si>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</si>
  <si>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</si>
  <si>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</si>
  <si>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</si>
  <si>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</si>
  <si>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</si>
  <si>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</si>
  <si>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</si>
  <si>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</si>
  <si>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</si>
  <si>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</si>
  <si>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</si>
  <si>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</si>
  <si>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</si>
  <si>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</si>
  <si>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</si>
  <si>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</si>
  <si>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</si>
  <si>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</si>
  <si>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</si>
  <si>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</si>
  <si>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</si>
  <si>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</si>
  <si>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</si>
  <si>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</si>
  <si>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</si>
  <si>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</si>
  <si>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</si>
  <si>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</si>
  <si>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</si>
  <si>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</si>
  <si>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</si>
  <si>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</si>
  <si>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</si>
  <si>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</si>
  <si>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</si>
  <si>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</si>
  <si>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</si>
  <si>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</si>
  <si>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</si>
  <si>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</si>
  <si>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</si>
  <si>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</si>
  <si>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</si>
  <si>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</si>
  <si>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</si>
  <si>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</si>
  <si>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</si>
  <si>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</si>
  <si>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</si>
  <si>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</si>
  <si>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</si>
  <si>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</si>
  <si>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</si>
  <si>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</si>
  <si>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</si>
  <si>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</si>
  <si>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</si>
  <si>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</si>
  <si>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</si>
  <si>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</si>
  <si>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</si>
  <si>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</si>
  <si>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</si>
  <si>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</si>
  <si>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</si>
  <si>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</si>
  <si>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</si>
  <si>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</si>
  <si>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</si>
  <si>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</si>
  <si>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</si>
  <si>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</si>
  <si>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</si>
  <si>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</si>
  <si>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</si>
  <si>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</si>
  <si>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</si>
  <si>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</si>
  <si>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</si>
  <si>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</si>
  <si>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</si>
  <si>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</si>
  <si>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</si>
  <si>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</si>
  <si>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</si>
  <si>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</si>
  <si>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</si>
  <si>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</si>
  <si>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</si>
  <si>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</si>
  <si>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</si>
  <si>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</si>
  <si>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</si>
  <si>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</si>
  <si>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</si>
  <si>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</si>
  <si>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</si>
  <si>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</si>
  <si>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</si>
  <si>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</si>
  <si>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</si>
  <si>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</si>
  <si>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</si>
  <si>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</si>
  <si>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</si>
  <si>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</si>
  <si>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</si>
  <si>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</si>
  <si>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</si>
  <si>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</si>
  <si>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</si>
  <si>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</si>
  <si>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</si>
  <si>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</si>
  <si>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</si>
  <si>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</si>
  <si>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</si>
  <si>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</si>
  <si>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</si>
  <si>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</si>
  <si>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</si>
  <si>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</si>
  <si>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</si>
  <si>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</si>
  <si>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</si>
  <si>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</si>
  <si>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</si>
  <si>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</si>
  <si>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</si>
  <si>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</si>
  <si>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</si>
  <si>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</si>
  <si>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</si>
  <si>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</si>
  <si>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</si>
  <si>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</si>
  <si>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</si>
  <si>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</si>
  <si>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</si>
  <si>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</si>
  <si>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</si>
  <si>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</si>
  <si>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</si>
  <si>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</si>
  <si>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</si>
  <si>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</si>
  <si>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</si>
  <si>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</si>
  <si>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</si>
  <si>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</si>
  <si>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</si>
  <si>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</si>
  <si>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</si>
  <si>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</si>
  <si>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</si>
  <si>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</si>
  <si>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</si>
  <si>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</si>
  <si>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</si>
  <si>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</si>
  <si>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</si>
  <si>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</si>
  <si>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</si>
  <si>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</si>
  <si>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</si>
  <si>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</si>
  <si>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</si>
  <si>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</si>
  <si>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</si>
  <si>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</si>
  <si>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</si>
  <si>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</si>
  <si>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</si>
  <si>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</si>
  <si>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</si>
  <si>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</si>
  <si>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</si>
  <si>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</si>
  <si>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</si>
  <si>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</si>
  <si>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</si>
  <si>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</si>
  <si>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</si>
  <si>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</si>
  <si>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</si>
  <si>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</si>
  <si>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</si>
  <si>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</si>
  <si>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</si>
  <si>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</si>
  <si>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</si>
  <si>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</si>
  <si>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</si>
  <si>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</si>
  <si>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</si>
  <si>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</si>
  <si>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</si>
  <si>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</si>
  <si>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</si>
  <si>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</si>
  <si>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</si>
  <si>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</si>
  <si>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</si>
  <si>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</si>
  <si>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</si>
  <si>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</si>
  <si>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</si>
  <si>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</si>
  <si>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</si>
  <si>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</si>
  <si>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</si>
  <si>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</si>
  <si>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</si>
  <si>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</si>
  <si>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</si>
  <si>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</si>
  <si>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</si>
  <si>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</si>
  <si>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</si>
  <si>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</si>
  <si>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</si>
  <si>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</si>
  <si>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</si>
  <si>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</si>
  <si>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</si>
  <si>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</si>
  <si>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</si>
  <si>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</si>
  <si>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</si>
  <si>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</si>
  <si>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</si>
  <si>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</si>
  <si>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</si>
  <si>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</si>
  <si>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</si>
  <si>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</si>
  <si>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</si>
  <si>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</si>
  <si>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</si>
  <si>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</si>
  <si>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</si>
  <si>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</si>
  <si>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抵押</t>
  </si>
  <si>
    <t>房地产抵押价值</t>
  </si>
  <si>
    <t>北京市</t>
  </si>
  <si>
    <t>企业</t>
  </si>
  <si>
    <t>Ⅹ-平1</t>
  </si>
  <si>
    <t>地上</t>
  </si>
  <si>
    <t>工业</t>
    <phoneticPr fontId="7" type="noConversion"/>
  </si>
  <si>
    <t>是</t>
  </si>
  <si>
    <t>成新度</t>
  </si>
  <si>
    <t>收益法 (元)</t>
  </si>
  <si>
    <t>自定义容积率</t>
  </si>
  <si>
    <t>不临65条商业街</t>
  </si>
  <si>
    <t>与级别开发程度不一致</t>
  </si>
  <si>
    <t>通路</t>
  </si>
  <si>
    <t>通电</t>
  </si>
  <si>
    <t>通讯</t>
  </si>
  <si>
    <t>通上水</t>
  </si>
  <si>
    <t>通下水</t>
  </si>
  <si>
    <t>通热</t>
  </si>
  <si>
    <t>平整</t>
  </si>
  <si>
    <t>较好</t>
    <phoneticPr fontId="3" type="noConversion"/>
  </si>
  <si>
    <t>一般</t>
    <phoneticPr fontId="3" type="noConversion"/>
  </si>
  <si>
    <t>较差</t>
    <phoneticPr fontId="3" type="noConversion"/>
  </si>
  <si>
    <t>七通</t>
    <phoneticPr fontId="3" type="noConversion"/>
  </si>
  <si>
    <t>较好</t>
  </si>
  <si>
    <t>一般</t>
  </si>
  <si>
    <t>较差</t>
  </si>
  <si>
    <t>好</t>
  </si>
  <si>
    <t>利息：取LPR加浮动点数</t>
  </si>
  <si>
    <t>已包含在土地取得成本中</t>
  </si>
  <si>
    <t>押一</t>
  </si>
  <si>
    <t>钢混</t>
  </si>
  <si>
    <t>非生产用房</t>
  </si>
  <si>
    <t>否</t>
  </si>
  <si>
    <t>成本比率</t>
  </si>
  <si>
    <t>成本法 (元)</t>
  </si>
  <si>
    <t>工业</t>
    <phoneticPr fontId="32" type="noConversion"/>
  </si>
  <si>
    <t>六通</t>
    <phoneticPr fontId="3" type="noConversion"/>
  </si>
  <si>
    <t>五通</t>
    <phoneticPr fontId="3" type="noConversion"/>
  </si>
  <si>
    <t>四通</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</si>
  <si>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</si>
  <si>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</si>
  <si>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</si>
  <si>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</si>
  <si>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</si>
  <si>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</si>
  <si>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</si>
  <si>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</si>
  <si>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</si>
  <si>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</si>
  <si>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</si>
  <si>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</si>
  <si>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</si>
  <si>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</si>
  <si>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34" type="noConversion"/>
  </si>
  <si>
    <t>转换地价</t>
    <phoneticPr fontId="134" type="noConversion"/>
  </si>
  <si>
    <t>每亩</t>
    <phoneticPr fontId="134"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</si>
  <si>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</si>
  <si>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</si>
  <si>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</si>
  <si>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34" type="noConversion"/>
  </si>
  <si>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</si>
  <si>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</si>
  <si>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</si>
  <si>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</si>
  <si>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</si>
  <si>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34"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</si>
  <si>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</si>
  <si>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34"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</si>
  <si>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</si>
  <si>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</si>
  <si>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</si>
  <si>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</si>
  <si>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</si>
  <si>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</si>
  <si>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</si>
  <si>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</si>
  <si>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</si>
  <si>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</si>
  <si>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</si>
  <si>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r>
      <rPr>
        <sz val="11"/>
        <rFont val="宋体"/>
        <family val="3"/>
        <charset val="134"/>
      </rPr>
      <t>估价对象名称</t>
    </r>
    <phoneticPr fontId="3" type="noConversion"/>
  </si>
  <si>
    <t>正常</t>
  </si>
  <si>
    <t>七通</t>
  </si>
  <si>
    <t>规则</t>
    <phoneticPr fontId="32" type="noConversion"/>
  </si>
  <si>
    <t>较规则</t>
  </si>
  <si>
    <t>较规则</t>
    <phoneticPr fontId="32" type="noConversion"/>
  </si>
  <si>
    <t>较不规则</t>
    <phoneticPr fontId="32" type="noConversion"/>
  </si>
  <si>
    <t>不规则</t>
    <phoneticPr fontId="32" type="noConversion"/>
  </si>
  <si>
    <t>六通</t>
  </si>
  <si>
    <t>楼面地价</t>
  </si>
  <si>
    <t>楼面单价</t>
  </si>
  <si>
    <r>
      <t>12</t>
    </r>
    <r>
      <rPr>
        <sz val="10"/>
        <rFont val="宋体"/>
        <family val="3"/>
        <charset val="134"/>
      </rPr>
      <t>号楼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</si>
</sst>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3" fillId="0" borderId="0" xfId="19" applyAlignment="1">
      <alignment horizontal="center" vertical="center" wrapText="1"/>
    </xf>
    <xf numFmtId="0" fontId="19" fillId="0" borderId="0" xfId="19" applyFont="1" applyAlignment="1">
      <alignment horizontal="center" vertical="center" wrapText="1"/>
    </xf>
    <xf numFmtId="0" fontId="0" fillId="0" borderId="0" xfId="0" applyAlignment="1">
      <alignment horizontal="center" vertical="center" wrapText="1"/>
    </xf>
    <xf numFmtId="0" fontId="53" fillId="9" borderId="0" xfId="19" applyFill="1" applyAlignment="1">
      <alignment horizontal="center" vertical="center"/>
    </xf>
    <xf numFmtId="0" fontId="0" fillId="9" borderId="0" xfId="0" applyFill="1" applyAlignment="1">
      <alignment horizontal="center" vertical="center"/>
    </xf>
    <xf numFmtId="0" fontId="53" fillId="0" borderId="0" xfId="19" applyAlignment="1">
      <alignment horizontal="center" vertical="center"/>
    </xf>
    <xf numFmtId="0" fontId="0" fillId="0" borderId="0" xfId="0" applyAlignment="1">
      <alignment horizontal="center" vertical="center"/>
    </xf>
    <xf numFmtId="0" fontId="94" fillId="0" borderId="44" xfId="0" applyFont="1" applyBorder="1" applyAlignment="1" applyProtection="1">
      <alignment horizontal="center" vertical="center" wrapText="1"/>
      <protection locked="0"/>
    </xf>
    <xf numFmtId="181" fontId="99" fillId="18" borderId="1" xfId="0" applyNumberFormat="1" applyFont="1" applyFill="1" applyBorder="1" applyAlignment="1" applyProtection="1">
      <alignment horizontal="center" vertical="center"/>
      <protection locked="0"/>
    </xf>
    <xf numFmtId="10" fontId="0" fillId="0" borderId="1" xfId="0" applyNumberFormat="1" applyBorder="1" applyAlignment="1" applyProtection="1">
      <alignment horizontal="left" vertical="center"/>
      <protection locked="0"/>
    </xf>
    <xf numFmtId="9" fontId="47" fillId="18" borderId="5" xfId="0" applyNumberFormat="1" applyFont="1" applyFill="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0" fontId="0" fillId="18" borderId="0" xfId="0" applyFill="1" applyAlignment="1">
      <alignment horizontal="center" vertical="center" wrapText="1"/>
    </xf>
    <xf numFmtId="49" fontId="53" fillId="12" borderId="4" xfId="0" applyNumberFormat="1" applyFont="1" applyFill="1" applyBorder="1" applyAlignment="1" applyProtection="1">
      <alignment horizontal="left" vertical="center"/>
      <protection locked="0"/>
    </xf>
    <xf numFmtId="177" fontId="47" fillId="22"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3"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159" fillId="12" borderId="0" xfId="12" applyNumberFormat="1" applyFill="1" applyAlignment="1" applyProtection="1">
      <alignment horizontal="left"/>
      <protection locked="0"/>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5</xdr:col>
      <xdr:colOff>1905</xdr:colOff>
      <xdr:row>34</xdr:row>
      <xdr:rowOff>149610</xdr:rowOff>
    </xdr:to>
    <xdr:pic>
      <xdr:nvPicPr>
        <xdr:cNvPr id="2" name="图片 1">
          <a:extLst>
            <a:ext uri="{FF2B5EF4-FFF2-40B4-BE49-F238E27FC236}">
              <a16:creationId xmlns:a16="http://schemas.microsoft.com/office/drawing/2014/main" id="{6AFE8A00-E2FC-40A5-AC78-C56964030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5</xdr:col>
      <xdr:colOff>1905</xdr:colOff>
      <xdr:row>62</xdr:row>
      <xdr:rowOff>29160</xdr:rowOff>
    </xdr:to>
    <xdr:pic>
      <xdr:nvPicPr>
        <xdr:cNvPr id="3" name="图片 2">
          <a:extLst>
            <a:ext uri="{FF2B5EF4-FFF2-40B4-BE49-F238E27FC236}">
              <a16:creationId xmlns:a16="http://schemas.microsoft.com/office/drawing/2014/main" id="{8162DF13-6D60-44A8-B7F7-39E481348D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5</xdr:col>
      <xdr:colOff>1905</xdr:colOff>
      <xdr:row>88</xdr:row>
      <xdr:rowOff>163890</xdr:rowOff>
    </xdr:to>
    <xdr:pic>
      <xdr:nvPicPr>
        <xdr:cNvPr id="4" name="图片 3">
          <a:extLst>
            <a:ext uri="{FF2B5EF4-FFF2-40B4-BE49-F238E27FC236}">
              <a16:creationId xmlns:a16="http://schemas.microsoft.com/office/drawing/2014/main" id="{0385C12C-5D95-46BB-9925-2289464C4A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5" name="图片 4">
          <a:extLst>
            <a:ext uri="{FF2B5EF4-FFF2-40B4-BE49-F238E27FC236}">
              <a16:creationId xmlns:a16="http://schemas.microsoft.com/office/drawing/2014/main" id="{33167267-1147-4A01-B7BE-0A937716D4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4179;&#35895;&#32852;&#19996;U&#358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北京市12号楼房地产抵押价值预评估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受贵公司委托，我公司对北京市12号楼房地产抵押价值进行了预评估。</v>
      </c>
    </row>
    <row r="7" spans="1:2">
      <c r="A7" s="1119" t="s">
        <v>566</v>
      </c>
      <c r="B7" s="1120" t="str">
        <f>'预评函-1'!A7</f>
        <v>估价对象为北京市12号楼房地产，为所有。根据，估价对象（分摊）出让国有建设用地使用权面积为0平方米，建筑面积为1590.73平方米。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估价对象为北京市12号楼房地产,属开发建设的，该项目尚在开发建设中。根据，估价对象（分摊）出让国有建设用地使用权面积为0平方米，规划建筑面积为1590.73平方米。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拟使用北京市12号楼房地产作为抵押担保物，向办理贷款手续。特委托北京康正宏基房地产评估有限公司对上述抵押物进行评估。本次评估为确定房地产抵押贷款额度提供参考依据而评估房地产抵押价值。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2023年3月24日（评估专业人员实地查勘之日）</v>
      </c>
    </row>
    <row r="13" spans="1:2">
      <c r="A13" s="1119" t="s">
        <v>529</v>
      </c>
      <c r="B13" s="1120"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1062</v>
      </c>
    </row>
    <row r="21" spans="1:2">
      <c r="A21" s="1119" t="s">
        <v>537</v>
      </c>
      <c r="B21" s="1120">
        <f ca="1">'预评函-2'!D7</f>
        <v>6678</v>
      </c>
    </row>
    <row r="22" spans="1:2">
      <c r="A22" s="1119" t="s">
        <v>538</v>
      </c>
      <c r="B22" s="1120" t="str">
        <f ca="1">'预评函-2'!D6</f>
        <v>壹仟零陆拾贰万元整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1062</v>
      </c>
    </row>
    <row r="31" spans="1:2">
      <c r="A31" s="1119" t="s">
        <v>576</v>
      </c>
      <c r="B31" s="1120">
        <f ca="1">'预评函-2'!D15</f>
        <v>6678</v>
      </c>
    </row>
    <row r="32" spans="1:2">
      <c r="A32" s="1119" t="s">
        <v>543</v>
      </c>
      <c r="B32" s="1120" t="str">
        <f ca="1">'预评函-2'!D14</f>
        <v>壹仟零陆拾贰万元整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北京市12号楼房地产</v>
      </c>
    </row>
    <row r="42" spans="1:2">
      <c r="A42" s="1119" t="s">
        <v>590</v>
      </c>
      <c r="B42" s="1120" t="str">
        <f>'预评函-3'!B2</f>
        <v>建筑面积</v>
      </c>
    </row>
    <row r="43" spans="1:2">
      <c r="A43" s="1119" t="s">
        <v>591</v>
      </c>
      <c r="B43" s="1120">
        <f>'预评函-3'!B4</f>
        <v>1590.73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313</v>
      </c>
    </row>
    <row r="48" spans="1:2">
      <c r="A48" s="1119" t="s">
        <v>549</v>
      </c>
      <c r="B48" s="1120">
        <f ca="1">'预评函-3'!E4</f>
        <v>1970</v>
      </c>
    </row>
    <row r="49" spans="1:2">
      <c r="A49" s="1119" t="s">
        <v>550</v>
      </c>
      <c r="B49" s="1120" t="str">
        <f ca="1">'预评函-3'!D5</f>
        <v>叁佰壹拾叁万元整</v>
      </c>
    </row>
    <row r="50" spans="1:2">
      <c r="A50" s="1119" t="s">
        <v>574</v>
      </c>
      <c r="B50" s="1120" t="str">
        <f>'预评函-3'!F2</f>
        <v>在建建筑物价值</v>
      </c>
    </row>
    <row r="51" spans="1:2">
      <c r="A51" s="1119" t="s">
        <v>551</v>
      </c>
      <c r="B51" s="1120">
        <f ca="1">'预评函-3'!F4</f>
        <v>749</v>
      </c>
    </row>
    <row r="52" spans="1:2">
      <c r="A52" s="1119" t="s">
        <v>552</v>
      </c>
      <c r="B52" s="1120">
        <f ca="1">'预评函-3'!G4</f>
        <v>4708</v>
      </c>
    </row>
    <row r="53" spans="1:2">
      <c r="A53" s="1119" t="s">
        <v>580</v>
      </c>
      <c r="B53" s="1120" t="str">
        <f ca="1">'预评函-3'!F5</f>
        <v>柒佰肆拾玖万元整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2568</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2569</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2281</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拟使用北京市12号楼房地产作为抵押担保物，向办理贷款手续。特委托北京康正宏基房地产评估有限公司对上述抵押物进行评估。本次评估为确定房地产抵押贷款额度提供参考依据而评估房地产抵押价值。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11" sqref="D11:D12"/>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03" t="s">
        <v>2571</v>
      </c>
      <c r="J2" s="3203"/>
      <c r="K2" s="3203"/>
      <c r="L2" s="3203"/>
      <c r="M2" s="3203"/>
      <c r="N2" s="3203"/>
      <c r="O2" s="3203"/>
      <c r="P2" s="3203"/>
      <c r="Q2" s="3203"/>
      <c r="R2" s="3203"/>
    </row>
    <row r="3" spans="1:18">
      <c r="A3" s="2760" t="s">
        <v>2492</v>
      </c>
      <c r="B3" s="2761">
        <f>项目基本情况!D3</f>
        <v>45009</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3.74</v>
      </c>
      <c r="D5" s="2765">
        <f>IF(ISERROR(ROUND(POWER(1+E5,A5-C5)*(POWER(1+E5,C5)-1)/(POWER(1+E5,A5)-1),3)),0,ROUND(POWER(1+E5,A5-C5)*(POWER(1+E5,C5)-1)/(POWER(1+E5,A5)-1),4))</f>
        <v>0.17230000000000001</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13.75</v>
      </c>
      <c r="D6" s="2765">
        <f>IF(ISERROR(ROUND(POWER(1+E6,A6-C6)*(POWER(1+E6,C6)-1)/(POWER(1+E6,A6)-1),3)),0,ROUND(POWER(1+E6,A6-C6)*(POWER(1+E6,C6)-1)/(POWER(1+E6,A6)-1),4))</f>
        <v>0.48509999999999998</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33.76</v>
      </c>
      <c r="D7" s="2765">
        <f>IF(ISERROR(ROUND(POWER(1+E7,A7-C7)*(POWER(1+E7,C7)-1)/(POWER(1+E7,A7)-1),3)),0,ROUND(POWER(1+E7,A7-C7)*(POWER(1+E7,C7)-1)/(POWER(1+E7,A7)-1),4))</f>
        <v>0.7843</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50</v>
      </c>
      <c r="C11" s="2763" t="s">
        <v>2501</v>
      </c>
      <c r="D11" s="3156">
        <v>0.05</v>
      </c>
      <c r="E11" s="2763" t="s">
        <v>2502</v>
      </c>
      <c r="F11" s="2769">
        <f>ROUND(1-(1/(POWER(1+D11,B11))),4)</f>
        <v>0.91279999999999994</v>
      </c>
    </row>
    <row r="12" spans="1:18">
      <c r="A12" s="2760" t="s">
        <v>2503</v>
      </c>
      <c r="B12" s="2768">
        <v>20</v>
      </c>
      <c r="C12" s="2763" t="s">
        <v>2504</v>
      </c>
      <c r="D12" s="3156">
        <f>D11</f>
        <v>0.05</v>
      </c>
      <c r="E12" s="2763" t="s">
        <v>2505</v>
      </c>
      <c r="F12" s="2769">
        <f>ROUND(1-(1/(POWER(1+D12,B12))),4)</f>
        <v>0.62309999999999999</v>
      </c>
      <c r="G12" s="2756">
        <f>F11/F12</f>
        <v>1.4649333975284866</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3413.12</v>
      </c>
      <c r="C15" s="2763">
        <f>ROUND(F12/F11,4)</f>
        <v>0.68259999999999998</v>
      </c>
      <c r="D15" s="2758"/>
      <c r="E15" s="2758"/>
      <c r="F15" s="2759"/>
    </row>
    <row r="16" spans="1:18">
      <c r="A16" s="2760" t="s">
        <v>2509</v>
      </c>
      <c r="B16" s="2763"/>
      <c r="C16" s="2763"/>
      <c r="D16" s="2758"/>
      <c r="E16" s="2758"/>
      <c r="F16" s="2759"/>
    </row>
    <row r="17" spans="1:13">
      <c r="A17" s="2760" t="s">
        <v>2508</v>
      </c>
      <c r="B17" s="2768">
        <v>4810</v>
      </c>
      <c r="C17" s="2762"/>
      <c r="D17" s="2758"/>
      <c r="E17" s="2758"/>
      <c r="F17" s="2759"/>
    </row>
    <row r="18" spans="1:13" ht="14.25" thickBot="1">
      <c r="A18" s="2770" t="s">
        <v>2507</v>
      </c>
      <c r="B18" s="2771">
        <f>ROUND(B17*F11/F12,2)</f>
        <v>7046.33</v>
      </c>
      <c r="C18" s="2771">
        <f>ROUND(F11/F12,4)</f>
        <v>1.4649000000000001</v>
      </c>
      <c r="D18" s="2772"/>
      <c r="E18" s="2772"/>
      <c r="F18" s="2773"/>
    </row>
    <row r="19" spans="1:13" ht="14.25" thickBot="1"/>
    <row r="20" spans="1:13" s="2806" customFormat="1" ht="14.25" thickTop="1">
      <c r="A20" s="2803" t="s">
        <v>2510</v>
      </c>
      <c r="B20" s="2804"/>
      <c r="C20" s="2804"/>
      <c r="D20" s="2804"/>
      <c r="E20" s="2804"/>
      <c r="F20" s="2804"/>
      <c r="G20" s="2805"/>
      <c r="I20" s="2807" t="s">
        <v>2555</v>
      </c>
      <c r="J20" s="2807" t="s">
        <v>2560</v>
      </c>
      <c r="K20" s="2807"/>
      <c r="L20" s="2807"/>
      <c r="M20" s="2807"/>
    </row>
    <row r="21" spans="1:13">
      <c r="A21" s="2774"/>
      <c r="B21" s="2775" t="s">
        <v>2511</v>
      </c>
      <c r="C21" s="2775" t="s">
        <v>2512</v>
      </c>
      <c r="D21" s="2775" t="s">
        <v>2513</v>
      </c>
      <c r="E21" s="2775" t="s">
        <v>2514</v>
      </c>
      <c r="F21" s="2775" t="s">
        <v>2515</v>
      </c>
      <c r="G21" s="2776" t="s">
        <v>2516</v>
      </c>
      <c r="I21" s="2797">
        <v>5</v>
      </c>
      <c r="J21" s="2797">
        <v>54.2</v>
      </c>
    </row>
    <row r="22" spans="1:13">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M23" s="2797" t="s">
        <v>2559</v>
      </c>
    </row>
    <row r="24" spans="1:13">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M24" s="2797">
        <v>10</v>
      </c>
    </row>
    <row r="25" spans="1:13">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M25" s="2797">
        <v>8</v>
      </c>
    </row>
    <row r="26" spans="1:13">
      <c r="A26" s="2779"/>
      <c r="B26" s="2780"/>
      <c r="C26" s="2780"/>
      <c r="D26" s="2780"/>
      <c r="E26" s="2780"/>
      <c r="F26" s="2780"/>
      <c r="G26" s="2781"/>
      <c r="I26" s="2797">
        <v>30</v>
      </c>
      <c r="J26" s="2797">
        <v>90.5</v>
      </c>
      <c r="K26" s="2797">
        <f t="shared" si="2"/>
        <v>4.2000000000000028</v>
      </c>
      <c r="L26" s="2797" t="s">
        <v>2562</v>
      </c>
      <c r="M26" s="2797">
        <v>5</v>
      </c>
    </row>
    <row r="27" spans="1:13">
      <c r="A27" s="2779" t="s">
        <v>2521</v>
      </c>
      <c r="B27" s="2780"/>
      <c r="C27" s="2780"/>
      <c r="D27" s="2780"/>
      <c r="E27" s="2780"/>
      <c r="F27" s="2780"/>
      <c r="G27" s="2781"/>
      <c r="I27" s="2797">
        <v>35</v>
      </c>
      <c r="J27" s="2797">
        <v>93.8</v>
      </c>
      <c r="K27" s="2797">
        <f t="shared" si="2"/>
        <v>3.2999999999999972</v>
      </c>
      <c r="L27" s="2797" t="s">
        <v>2563</v>
      </c>
      <c r="M27" s="2797">
        <v>3</v>
      </c>
    </row>
    <row r="28" spans="1:13">
      <c r="A28" s="2779" t="s">
        <v>2522</v>
      </c>
      <c r="B28" s="2780"/>
      <c r="C28" s="2780"/>
      <c r="D28" s="2780"/>
      <c r="E28" s="2780"/>
      <c r="F28" s="2780"/>
      <c r="G28" s="2781"/>
      <c r="I28" s="2797">
        <v>40</v>
      </c>
      <c r="J28" s="2797">
        <v>96.4</v>
      </c>
      <c r="K28" s="2797">
        <f t="shared" si="2"/>
        <v>2.6000000000000085</v>
      </c>
      <c r="L28" s="2797" t="s">
        <v>2564</v>
      </c>
      <c r="M28" s="2797">
        <v>2</v>
      </c>
    </row>
    <row r="29" spans="1:13">
      <c r="A29" s="2779" t="s">
        <v>2523</v>
      </c>
      <c r="B29" s="2780"/>
      <c r="C29" s="2780"/>
      <c r="D29" s="2780"/>
      <c r="E29" s="2780"/>
      <c r="F29" s="2780"/>
      <c r="G29" s="2781"/>
      <c r="I29" s="2797">
        <v>45</v>
      </c>
      <c r="J29" s="2797">
        <v>98.4</v>
      </c>
      <c r="K29" s="2797">
        <f t="shared" si="2"/>
        <v>2</v>
      </c>
    </row>
    <row r="30" spans="1:13">
      <c r="A30" s="2779" t="s">
        <v>2524</v>
      </c>
      <c r="B30" s="2780"/>
      <c r="C30" s="2780"/>
      <c r="D30" s="2780"/>
      <c r="E30" s="2780"/>
      <c r="F30" s="2780"/>
      <c r="G30" s="2781"/>
      <c r="I30" s="2797">
        <v>50</v>
      </c>
      <c r="J30" s="2797">
        <v>100</v>
      </c>
      <c r="K30" s="2797">
        <f t="shared" si="2"/>
        <v>1.5999999999999943</v>
      </c>
    </row>
    <row r="31" spans="1:13">
      <c r="A31" s="2779" t="s">
        <v>2525</v>
      </c>
      <c r="B31" s="2780"/>
      <c r="C31" s="2780"/>
      <c r="D31" s="2780"/>
      <c r="E31" s="2780"/>
      <c r="F31" s="2780"/>
      <c r="G31" s="2781"/>
      <c r="I31" s="2797" t="s">
        <v>2556</v>
      </c>
    </row>
    <row r="32" spans="1:13">
      <c r="A32" s="2779" t="s">
        <v>2526</v>
      </c>
      <c r="B32" s="2780"/>
      <c r="C32" s="2780"/>
      <c r="D32" s="2780"/>
      <c r="E32" s="2780"/>
      <c r="F32" s="2780"/>
      <c r="G32" s="2781"/>
    </row>
    <row r="33" spans="1:13">
      <c r="A33" s="2779" t="s">
        <v>2527</v>
      </c>
      <c r="B33" s="2780"/>
      <c r="C33" s="2780"/>
      <c r="D33" s="2780"/>
      <c r="E33" s="2780"/>
      <c r="F33" s="2780"/>
      <c r="G33" s="2781"/>
      <c r="I33" s="2797" t="s">
        <v>2555</v>
      </c>
      <c r="J33" s="2797" t="s">
        <v>2565</v>
      </c>
    </row>
    <row r="34" spans="1:13">
      <c r="A34" s="2779" t="s">
        <v>2528</v>
      </c>
      <c r="B34" s="2780"/>
      <c r="C34" s="2780"/>
      <c r="D34" s="2780"/>
      <c r="E34" s="2780"/>
      <c r="F34" s="2780"/>
      <c r="G34" s="2781"/>
      <c r="I34" s="2797">
        <v>5</v>
      </c>
      <c r="J34" s="2797">
        <v>55.1</v>
      </c>
    </row>
    <row r="35" spans="1:13">
      <c r="A35" s="2779" t="s">
        <v>2529</v>
      </c>
      <c r="B35" s="2780"/>
      <c r="C35" s="2780"/>
      <c r="D35" s="2780"/>
      <c r="E35" s="2780"/>
      <c r="F35" s="2780"/>
      <c r="G35" s="2781"/>
      <c r="I35" s="2797">
        <v>10</v>
      </c>
      <c r="J35" s="2797">
        <v>67</v>
      </c>
      <c r="K35" s="2797">
        <f>J35-J34</f>
        <v>11.899999999999999</v>
      </c>
    </row>
    <row r="36" spans="1:13">
      <c r="A36" s="2779" t="s">
        <v>2530</v>
      </c>
      <c r="B36" s="2780"/>
      <c r="C36" s="2780"/>
      <c r="D36" s="2780"/>
      <c r="E36" s="2780"/>
      <c r="F36" s="2780"/>
      <c r="G36" s="2781"/>
      <c r="I36" s="2797">
        <v>15</v>
      </c>
      <c r="J36" s="2797">
        <v>76.3</v>
      </c>
      <c r="K36" s="2797">
        <f t="shared" ref="K36:K41" si="3">J36-J35</f>
        <v>9.2999999999999972</v>
      </c>
      <c r="L36" s="2797" t="s">
        <v>2558</v>
      </c>
      <c r="M36" s="2797" t="s">
        <v>2559</v>
      </c>
    </row>
    <row r="37" spans="1:13">
      <c r="A37" s="2779" t="s">
        <v>2531</v>
      </c>
      <c r="B37" s="2780"/>
      <c r="C37" s="2780"/>
      <c r="D37" s="2780"/>
      <c r="E37" s="2780"/>
      <c r="F37" s="2780"/>
      <c r="G37" s="2781"/>
      <c r="I37" s="2797">
        <v>20</v>
      </c>
      <c r="J37" s="2797">
        <v>83.6</v>
      </c>
      <c r="K37" s="2797">
        <f t="shared" si="3"/>
        <v>7.2999999999999972</v>
      </c>
      <c r="L37" s="2797" t="s">
        <v>2557</v>
      </c>
      <c r="M37" s="2797">
        <v>10</v>
      </c>
    </row>
    <row r="38" spans="1:13">
      <c r="A38" s="2779" t="s">
        <v>2532</v>
      </c>
      <c r="B38" s="2780"/>
      <c r="C38" s="2780"/>
      <c r="D38" s="2780"/>
      <c r="E38" s="2780"/>
      <c r="F38" s="2780"/>
      <c r="G38" s="2781"/>
      <c r="I38" s="2797">
        <v>25</v>
      </c>
      <c r="J38" s="2797">
        <v>89.3</v>
      </c>
      <c r="K38" s="2797">
        <f t="shared" si="3"/>
        <v>5.7000000000000028</v>
      </c>
      <c r="L38" s="2797" t="s">
        <v>2561</v>
      </c>
      <c r="M38" s="2797">
        <v>8</v>
      </c>
    </row>
    <row r="39" spans="1:13">
      <c r="A39" s="2779"/>
      <c r="B39" s="2780"/>
      <c r="C39" s="2780"/>
      <c r="D39" s="2780"/>
      <c r="E39" s="2780"/>
      <c r="F39" s="2780"/>
      <c r="G39" s="2781"/>
      <c r="I39" s="2797">
        <v>30</v>
      </c>
      <c r="J39" s="2797">
        <v>93.8</v>
      </c>
      <c r="K39" s="2797">
        <f t="shared" si="3"/>
        <v>4.5</v>
      </c>
      <c r="L39" s="2797" t="s">
        <v>2562</v>
      </c>
      <c r="M39" s="2797">
        <v>6</v>
      </c>
    </row>
    <row r="40" spans="1:13">
      <c r="A40" s="2782" t="s">
        <v>2533</v>
      </c>
      <c r="B40" s="2783"/>
      <c r="C40" s="2783"/>
      <c r="D40" s="2783"/>
      <c r="E40" s="2783"/>
      <c r="F40" s="2783"/>
      <c r="G40" s="2784"/>
      <c r="I40" s="2797">
        <v>35</v>
      </c>
      <c r="J40" s="2797">
        <v>97.2</v>
      </c>
      <c r="K40" s="2797">
        <f t="shared" si="3"/>
        <v>3.4000000000000057</v>
      </c>
      <c r="L40" s="2797" t="s">
        <v>2563</v>
      </c>
      <c r="M40" s="2797">
        <v>3</v>
      </c>
    </row>
    <row r="41" spans="1:13">
      <c r="A41" s="2785" t="s">
        <v>2534</v>
      </c>
      <c r="B41" s="2786" t="s">
        <v>2535</v>
      </c>
      <c r="C41" s="2787" t="s">
        <v>2536</v>
      </c>
      <c r="D41" s="2787" t="s">
        <v>2537</v>
      </c>
      <c r="E41" s="2788"/>
      <c r="F41" s="2789"/>
      <c r="G41" s="2790"/>
      <c r="I41" s="2797">
        <v>40</v>
      </c>
      <c r="J41" s="2797">
        <v>100</v>
      </c>
      <c r="K41" s="2797">
        <f t="shared" si="3"/>
        <v>2.7999999999999972</v>
      </c>
    </row>
    <row r="42" spans="1:13">
      <c r="A42" s="2785" t="s">
        <v>2538</v>
      </c>
      <c r="B42" s="2786" t="s">
        <v>2539</v>
      </c>
      <c r="C42" s="2787" t="s">
        <v>2540</v>
      </c>
      <c r="D42" s="2791" t="s">
        <v>2541</v>
      </c>
      <c r="E42" s="2783" t="s">
        <v>2542</v>
      </c>
      <c r="F42" s="2783"/>
      <c r="G42" s="2784"/>
    </row>
    <row r="43" spans="1:13">
      <c r="A43" s="2785" t="s">
        <v>2543</v>
      </c>
      <c r="B43" s="2786" t="s">
        <v>2544</v>
      </c>
      <c r="C43" s="2787" t="s">
        <v>2545</v>
      </c>
      <c r="D43" s="2787" t="s">
        <v>2546</v>
      </c>
      <c r="E43" s="2788" t="s">
        <v>2547</v>
      </c>
      <c r="F43" s="2789"/>
      <c r="G43" s="2790"/>
      <c r="I43" s="2797" t="s">
        <v>2555</v>
      </c>
      <c r="J43" s="2797" t="s">
        <v>2566</v>
      </c>
    </row>
    <row r="44" spans="1:13">
      <c r="A44" s="2785" t="s">
        <v>2548</v>
      </c>
      <c r="B44" s="2786" t="s">
        <v>2549</v>
      </c>
      <c r="C44" s="2787" t="s">
        <v>2550</v>
      </c>
      <c r="D44" s="2791">
        <v>0.5</v>
      </c>
      <c r="E44" s="2788" t="s">
        <v>2551</v>
      </c>
      <c r="F44" s="2789"/>
      <c r="G44" s="2790"/>
      <c r="I44" s="2797">
        <v>30</v>
      </c>
      <c r="J44" s="2797">
        <v>81.7</v>
      </c>
    </row>
    <row r="45" spans="1:13" ht="14.25" thickBot="1">
      <c r="A45" s="2792" t="s">
        <v>2552</v>
      </c>
      <c r="B45" s="2793" t="s">
        <v>2539</v>
      </c>
      <c r="C45" s="2794" t="s">
        <v>2539</v>
      </c>
      <c r="D45" s="2794" t="s">
        <v>2553</v>
      </c>
      <c r="E45" s="2795" t="s">
        <v>2554</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8" sqref="H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4" t="str">
        <f>IF(B10="北京市","北京市",C10)&amp;F10&amp;IF(结果表!G1="在建","出让国有建设用地使用权及在建建筑物",IF(结果表!G1="土地","出让国有建设用地使用权",))&amp;B9&amp;"预评估"</f>
        <v>北京市12号楼房地产抵押价值预评估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北京市12号楼房地产抵押价值</v>
      </c>
      <c r="T1" s="1618"/>
      <c r="U1" s="1618"/>
      <c r="V1" s="1618"/>
      <c r="W1" s="1618"/>
      <c r="X1" s="1618"/>
      <c r="Y1" s="1618"/>
      <c r="Z1" s="1618"/>
      <c r="AA1" s="1618"/>
      <c r="AB1" s="1618"/>
    </row>
    <row r="2" spans="1:30">
      <c r="A2" s="2182" t="s">
        <v>2168</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北京市12号楼房地产</v>
      </c>
      <c r="T2" s="1618"/>
      <c r="U2" s="1618"/>
      <c r="V2" s="1618"/>
      <c r="W2" s="1618"/>
      <c r="X2" s="1618"/>
      <c r="Y2" s="1618"/>
      <c r="Z2" s="1618"/>
      <c r="AA2" s="1618"/>
      <c r="AB2" s="1618"/>
    </row>
    <row r="3" spans="1:30">
      <c r="A3" s="294" t="s">
        <v>2169</v>
      </c>
      <c r="B3" s="2185">
        <v>45009</v>
      </c>
      <c r="C3" s="2186" t="s">
        <v>2170</v>
      </c>
      <c r="D3" s="2185">
        <f>B3</f>
        <v>45009</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3368</v>
      </c>
      <c r="C4" s="2188">
        <f ca="1">SUMIF(注册房地产估价师,B4,估价师及机构信息!B3:B24)</f>
        <v>1120070131</v>
      </c>
      <c r="D4" s="2187" t="s">
        <v>3367</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2174</v>
      </c>
      <c r="B7" s="2198"/>
      <c r="C7" s="2196"/>
      <c r="D7" s="2197"/>
      <c r="E7" s="2439"/>
      <c r="F7" s="2440"/>
      <c r="G7" s="2440"/>
      <c r="H7" s="2440"/>
      <c r="I7" s="2440"/>
      <c r="J7" s="2245"/>
      <c r="K7" s="2400"/>
      <c r="L7" s="2397"/>
      <c r="M7" s="2397"/>
      <c r="N7" s="2245"/>
      <c r="O7" s="1670"/>
      <c r="P7" s="2245"/>
      <c r="Q7" s="2245"/>
      <c r="R7" s="2245"/>
    </row>
    <row r="8" spans="1:30">
      <c r="A8" s="2199" t="s">
        <v>2175</v>
      </c>
      <c r="B8" s="2200" t="s">
        <v>3369</v>
      </c>
      <c r="C8" s="2201"/>
      <c r="D8" s="3207" t="s">
        <v>2176</v>
      </c>
      <c r="E8" s="2202"/>
      <c r="F8" s="2203"/>
      <c r="G8" s="2440"/>
      <c r="H8" s="2440"/>
      <c r="I8" s="2440"/>
      <c r="J8" s="2245"/>
      <c r="K8" s="2398"/>
      <c r="L8" s="2397"/>
      <c r="M8" s="2397"/>
      <c r="N8" s="2245"/>
      <c r="O8" s="1670"/>
      <c r="P8" s="2245"/>
      <c r="Q8" s="2245"/>
      <c r="R8" s="2245"/>
    </row>
    <row r="9" spans="1:30" ht="13.5" thickBot="1">
      <c r="A9" s="2204" t="s">
        <v>2177</v>
      </c>
      <c r="B9" s="2205" t="s">
        <v>3370</v>
      </c>
      <c r="C9" s="2206"/>
      <c r="D9" s="3208"/>
      <c r="E9" s="2205"/>
      <c r="F9" s="2207"/>
      <c r="G9" s="2441"/>
      <c r="H9" s="2441"/>
      <c r="I9" s="2441"/>
      <c r="J9" s="2245"/>
      <c r="K9" s="2400"/>
      <c r="L9" s="2397"/>
      <c r="M9" s="2397"/>
      <c r="N9" s="2245"/>
      <c r="O9" s="1670"/>
      <c r="P9" s="2245"/>
      <c r="Q9" s="2245"/>
      <c r="R9" s="2245"/>
    </row>
    <row r="10" spans="1:30" ht="13.5" thickTop="1">
      <c r="A10" s="2208" t="s">
        <v>2178</v>
      </c>
      <c r="B10" s="2209" t="s">
        <v>3371</v>
      </c>
      <c r="C10" s="2210"/>
      <c r="D10" s="2193"/>
      <c r="E10" s="2211" t="s">
        <v>2179</v>
      </c>
      <c r="F10" s="3160" t="s">
        <v>3460</v>
      </c>
      <c r="G10" s="2442"/>
      <c r="H10" s="2443"/>
      <c r="I10" s="2444"/>
      <c r="J10" s="2245"/>
      <c r="K10" s="2400"/>
      <c r="L10" s="2397"/>
      <c r="M10" s="2397"/>
      <c r="N10" s="2245"/>
      <c r="O10" s="1670"/>
      <c r="P10" s="2245"/>
      <c r="Q10" s="2245"/>
      <c r="R10" s="2245"/>
    </row>
    <row r="11" spans="1:30">
      <c r="A11" s="2212" t="s">
        <v>2180</v>
      </c>
      <c r="B11" s="2213" t="s">
        <v>3372</v>
      </c>
      <c r="C11" s="2214"/>
      <c r="D11" s="2215"/>
      <c r="E11" s="2182"/>
      <c r="F11" s="2182"/>
      <c r="G11" s="2182"/>
      <c r="H11" s="2182"/>
      <c r="I11" s="2182"/>
      <c r="J11" s="2799"/>
      <c r="K11" s="2397"/>
      <c r="L11" s="2397"/>
      <c r="M11" s="2397"/>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798" t="s">
        <v>2567</v>
      </c>
      <c r="J12" s="2800"/>
      <c r="K12" s="2397"/>
      <c r="L12" s="2397"/>
      <c r="M12" s="2245"/>
      <c r="N12" s="1670"/>
      <c r="O12" s="2245"/>
      <c r="P12" s="2245"/>
      <c r="Q12" s="2245"/>
      <c r="AD12" s="1618"/>
    </row>
    <row r="13" spans="1:30">
      <c r="A13" s="3119" t="s">
        <v>3327</v>
      </c>
      <c r="B13" s="2218" t="s">
        <v>2189</v>
      </c>
      <c r="C13" s="803"/>
      <c r="D13" s="803"/>
      <c r="E13" s="803"/>
      <c r="F13" s="803"/>
      <c r="G13" s="803"/>
      <c r="H13" s="803">
        <v>60016</v>
      </c>
      <c r="I13" s="803"/>
      <c r="J13" s="2800"/>
      <c r="K13" s="2397"/>
      <c r="L13" s="2397"/>
      <c r="M13" s="2245"/>
      <c r="N13" s="1670"/>
      <c r="O13" s="2245"/>
      <c r="P13" s="2245"/>
      <c r="Q13" s="2245"/>
      <c r="AD13" s="1618"/>
    </row>
    <row r="14" spans="1:30">
      <c r="A14" s="1018"/>
      <c r="B14" s="2218" t="s">
        <v>2190</v>
      </c>
      <c r="C14" s="2219"/>
      <c r="D14" s="2219"/>
      <c r="E14" s="2219"/>
      <c r="F14" s="2219"/>
      <c r="G14" s="2219"/>
      <c r="H14" s="2219">
        <v>50</v>
      </c>
      <c r="I14" s="2219"/>
      <c r="J14" s="2801"/>
      <c r="K14" s="2397"/>
      <c r="L14" s="2397"/>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41.11</v>
      </c>
      <c r="I15" s="2221" t="str">
        <f>IF(A13="出让",IF(I13="","",ROUNDDOWN(MIN((I13-$D$3)/365,I14),2)),I14)</f>
        <v/>
      </c>
      <c r="J15" s="2802"/>
      <c r="K15" s="1670"/>
      <c r="L15" s="1670"/>
      <c r="M15" s="2245"/>
      <c r="N15" s="1670"/>
      <c r="O15" s="2245"/>
      <c r="P15" s="2245"/>
      <c r="Q15" s="2245"/>
      <c r="AD15" s="1618"/>
    </row>
    <row r="16" spans="1:30">
      <c r="A16" s="2211" t="s">
        <v>2192</v>
      </c>
      <c r="B16" s="3214"/>
      <c r="C16" s="3215"/>
      <c r="D16" s="3216"/>
      <c r="E16" s="2222" t="s">
        <v>2193</v>
      </c>
      <c r="F16" s="3217"/>
      <c r="G16" s="3218"/>
      <c r="H16" s="3218"/>
      <c r="I16" s="3219"/>
      <c r="J16" s="2245"/>
      <c r="K16" s="2401"/>
      <c r="L16" s="1670"/>
      <c r="M16" s="1670"/>
      <c r="N16" s="2245"/>
      <c r="O16" s="1670"/>
      <c r="P16" s="2245"/>
      <c r="Q16" s="2245"/>
      <c r="R16" s="2245"/>
    </row>
    <row r="17" spans="1:28">
      <c r="A17" s="305" t="s">
        <v>2194</v>
      </c>
      <c r="B17" s="294" t="s">
        <v>2195</v>
      </c>
      <c r="C17" s="8">
        <f>'数据-汇总表'!E3</f>
        <v>1590.73</v>
      </c>
      <c r="D17" s="1256" t="s">
        <v>2196</v>
      </c>
      <c r="E17" s="3220"/>
      <c r="F17" s="3221"/>
      <c r="G17" s="3221"/>
      <c r="H17" s="3221"/>
      <c r="I17" s="3222"/>
      <c r="J17" s="2245"/>
      <c r="K17" s="2402"/>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23"/>
      <c r="F18" s="3224"/>
      <c r="G18" s="3224"/>
      <c r="H18" s="3224"/>
      <c r="I18" s="3225"/>
      <c r="J18" s="2245"/>
      <c r="K18" s="2402"/>
      <c r="L18" s="1670"/>
      <c r="M18" s="1670"/>
      <c r="N18" s="2245"/>
      <c r="O18" s="1670"/>
      <c r="P18" s="2245"/>
      <c r="Q18" s="2245"/>
      <c r="R18" s="2245"/>
      <c r="S18" s="2245"/>
      <c r="T18" s="2245"/>
      <c r="U18" s="2245"/>
      <c r="V18" s="2245"/>
    </row>
    <row r="19" spans="1:28" ht="37.5" thickTop="1" thickBot="1">
      <c r="A19" s="319" t="s">
        <v>1055</v>
      </c>
      <c r="B19" s="299" t="s">
        <v>2200</v>
      </c>
      <c r="C19" s="1455"/>
      <c r="D19" s="1456" t="s">
        <v>2201</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2202</v>
      </c>
      <c r="B20" s="3210" t="s">
        <v>2203</v>
      </c>
      <c r="C20" s="3211"/>
      <c r="D20" s="3212" t="s">
        <v>2204</v>
      </c>
      <c r="E20" s="3213"/>
      <c r="F20" s="2428" t="s">
        <v>1056</v>
      </c>
      <c r="G20" s="2440"/>
      <c r="H20" s="2440"/>
      <c r="I20" s="2440"/>
      <c r="J20" s="2245"/>
      <c r="K20" s="3209"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2206</v>
      </c>
      <c r="C21" s="2294" t="s">
        <v>1057</v>
      </c>
      <c r="D21" s="1460" t="s">
        <v>2207</v>
      </c>
      <c r="E21" s="2417" t="s">
        <v>1057</v>
      </c>
      <c r="F21" s="2429"/>
      <c r="G21" s="2440"/>
      <c r="H21" s="2440"/>
      <c r="I21" s="2440"/>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2208</v>
      </c>
      <c r="C22" s="2294" t="s">
        <v>1058</v>
      </c>
      <c r="D22" s="2440"/>
      <c r="E22" s="2440"/>
      <c r="F22" s="2440"/>
      <c r="G22" s="2440"/>
      <c r="H22" s="2440"/>
      <c r="I22" s="2440"/>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2209</v>
      </c>
      <c r="B23" s="2291" t="s">
        <v>2210</v>
      </c>
      <c r="C23" s="2420"/>
      <c r="D23" s="2421" t="s">
        <v>2210</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27" t="s">
        <v>2211</v>
      </c>
      <c r="B27" s="312" t="s">
        <v>2212</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7"/>
      <c r="B28" s="294" t="s">
        <v>2213</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7"/>
      <c r="B29" s="294" t="s">
        <v>2214</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8"/>
      <c r="B30" s="294" t="s">
        <v>2215</v>
      </c>
      <c r="C30" s="3229"/>
      <c r="D30" s="3230"/>
      <c r="E30" s="2440"/>
      <c r="F30" s="2440"/>
      <c r="G30" s="2440"/>
      <c r="H30" s="2440"/>
      <c r="I30" s="2440"/>
      <c r="J30" s="2245"/>
      <c r="K30" s="2400"/>
      <c r="L30" s="2397"/>
      <c r="M30" s="2397"/>
      <c r="N30" s="2245"/>
      <c r="O30" s="1670"/>
      <c r="P30" s="2245"/>
      <c r="Q30" s="2245"/>
      <c r="R30" s="2245"/>
      <c r="S30" s="2245"/>
      <c r="T30" s="2245"/>
      <c r="U30" s="2245"/>
      <c r="V30" s="2245"/>
    </row>
    <row r="31" spans="1:28">
      <c r="A31" s="3231" t="s">
        <v>2216</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2217</v>
      </c>
      <c r="B34" s="1870"/>
      <c r="C34" s="1870"/>
      <c r="D34" s="1870"/>
      <c r="E34" s="1870"/>
      <c r="F34" s="1870"/>
      <c r="G34" s="1870"/>
      <c r="H34" s="1870"/>
      <c r="I34" s="2440"/>
      <c r="J34" s="2245"/>
      <c r="K34" s="8">
        <f>COUNTIF(B34:H34,"——")</f>
        <v>0</v>
      </c>
      <c r="L34" s="315" t="s">
        <v>2218</v>
      </c>
      <c r="M34" s="315" t="s">
        <v>2219</v>
      </c>
      <c r="N34" s="315" t="s">
        <v>2220</v>
      </c>
      <c r="O34" s="315" t="s">
        <v>2221</v>
      </c>
      <c r="P34" s="315" t="s">
        <v>2222</v>
      </c>
      <c r="Q34" s="315" t="s">
        <v>2223</v>
      </c>
      <c r="R34" s="315" t="s">
        <v>2224</v>
      </c>
      <c r="S34" s="3226" t="s">
        <v>2225</v>
      </c>
      <c r="T34" s="315" t="str">
        <f>NUMBERSTRING(7-K34,1)&amp;"通"</f>
        <v>七通</v>
      </c>
      <c r="U34" s="2245"/>
      <c r="V34" s="2245"/>
    </row>
    <row r="35" spans="1:30">
      <c r="A35" s="2236"/>
      <c r="B35" s="3226" t="s">
        <v>2226</v>
      </c>
      <c r="C35" s="3226"/>
      <c r="D35" s="3226"/>
      <c r="E35" s="3226"/>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5"/>
      <c r="V35" s="2245"/>
    </row>
    <row r="36" spans="1:30">
      <c r="A36" s="2183"/>
      <c r="B36" s="8" t="s">
        <v>2184</v>
      </c>
      <c r="C36" s="8" t="s">
        <v>2185</v>
      </c>
      <c r="D36" s="8" t="s">
        <v>2183</v>
      </c>
      <c r="E36" s="8" t="s">
        <v>2188</v>
      </c>
      <c r="F36" s="2798" t="s">
        <v>2570</v>
      </c>
      <c r="G36" s="2440"/>
      <c r="H36" s="2440"/>
      <c r="I36" s="2440"/>
      <c r="J36" s="2245"/>
      <c r="K36" s="2400"/>
      <c r="L36" s="2397"/>
      <c r="M36" s="2397"/>
      <c r="N36" s="2245"/>
      <c r="O36" s="1670"/>
      <c r="P36" s="2245"/>
      <c r="Q36" s="2245"/>
      <c r="R36" s="2245"/>
      <c r="S36" s="2245"/>
      <c r="T36" s="2245"/>
      <c r="U36" s="2245"/>
      <c r="V36" s="2245"/>
    </row>
    <row r="37" spans="1:30">
      <c r="A37" s="2413" t="s">
        <v>2227</v>
      </c>
      <c r="B37" s="2237"/>
      <c r="C37" s="2237"/>
      <c r="D37" s="2237"/>
      <c r="E37" s="2237" t="s">
        <v>307</v>
      </c>
      <c r="F37" s="2237"/>
      <c r="G37" s="2440"/>
      <c r="H37" s="2440"/>
      <c r="I37" s="2440"/>
      <c r="J37" s="2245"/>
      <c r="K37" s="2400"/>
      <c r="L37" s="2397"/>
      <c r="M37" s="2397"/>
      <c r="N37" s="2245"/>
      <c r="O37" s="1670"/>
      <c r="P37" s="2245"/>
      <c r="Q37" s="2245"/>
      <c r="R37" s="2245"/>
      <c r="S37" s="2245"/>
      <c r="T37" s="2245"/>
      <c r="U37" s="2245"/>
      <c r="V37" s="2245"/>
    </row>
    <row r="38" spans="1:30" ht="13.5" thickBot="1">
      <c r="A38" s="2414" t="s">
        <v>2228</v>
      </c>
      <c r="B38" s="2238"/>
      <c r="C38" s="2238"/>
      <c r="D38" s="2238"/>
      <c r="E38" s="2238" t="s">
        <v>3373</v>
      </c>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2229</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2230</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1590.73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1590.73</v>
      </c>
      <c r="H5" s="13">
        <f t="shared" ref="H5:AT5" si="0">SUM(H13:H656)</f>
        <v>1590.73</v>
      </c>
      <c r="I5" s="13">
        <f t="shared" si="0"/>
        <v>1590.73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1590.73</v>
      </c>
      <c r="BA5" s="15">
        <f t="shared" si="1"/>
        <v>1590.73</v>
      </c>
      <c r="BB5" s="15">
        <f t="shared" si="1"/>
        <v>1590.73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3376</v>
      </c>
      <c r="E13" s="13">
        <f>IF($C$3="是",ROUND($A$3*G13/$B$3,2),ROUND($A$3*(G13-AT13)/$B$3,2))</f>
        <v>0</v>
      </c>
      <c r="F13" s="29"/>
      <c r="G13" s="30">
        <f>H13+AC13+AT13</f>
        <v>1590.73</v>
      </c>
      <c r="H13" s="17">
        <f>SUMIF(I$12:AB$12,"总值",I13:AB13)</f>
        <v>1590.73</v>
      </c>
      <c r="I13" s="1514">
        <v>1590.73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1590.73</v>
      </c>
      <c r="BA13" s="13">
        <f>SUM(BB13:BK13)</f>
        <v>1590.73</v>
      </c>
      <c r="BB13" s="13">
        <f>IF($D13="是",I13-J13,0)</f>
        <v>1590.73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K13" sqref="K1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7"/>
      <c r="G2" s="2430"/>
      <c r="H2" s="2431"/>
      <c r="I2" s="2146" t="s">
        <v>1132</v>
      </c>
      <c r="J2" s="2437"/>
      <c r="K2" s="2437"/>
      <c r="L2" s="2437"/>
      <c r="M2" s="2437"/>
      <c r="N2" s="2438"/>
      <c r="O2" s="2437"/>
      <c r="P2" s="2437"/>
    </row>
    <row r="3" spans="1:16" ht="15.75" thickBot="1">
      <c r="A3" s="3243" t="s">
        <v>1105</v>
      </c>
      <c r="B3" s="3243"/>
      <c r="C3" s="3243"/>
      <c r="D3" s="41">
        <f>'数据-基础表'!AY6</f>
        <v>0</v>
      </c>
      <c r="E3" s="41">
        <f>'数据-基础表'!AZ5</f>
        <v>1590.73</v>
      </c>
      <c r="F3" s="2437"/>
      <c r="G3" s="42"/>
      <c r="H3" s="43" t="s">
        <v>1106</v>
      </c>
      <c r="I3" s="802" t="e">
        <f>ROUND('数据-基础表'!B3/'数据-基础表'!A3,2)</f>
        <v>#DIV/0!</v>
      </c>
      <c r="J3" s="2437"/>
      <c r="K3" s="2437"/>
      <c r="L3" s="2437"/>
      <c r="M3" s="2437"/>
      <c r="N3" s="2438"/>
      <c r="O3" s="2437"/>
      <c r="P3" s="2437"/>
    </row>
    <row r="4" spans="1:16" ht="15">
      <c r="A4" s="3244"/>
      <c r="B4" s="3245"/>
      <c r="C4" s="324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7" t="s">
        <v>1110</v>
      </c>
      <c r="C5" s="324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7" t="s">
        <v>1111</v>
      </c>
      <c r="C6" s="3247"/>
      <c r="D6" s="43">
        <f>ROUND($D$3*E6/$E$3,2)</f>
        <v>0</v>
      </c>
      <c r="E6" s="44">
        <f>E3-E5</f>
        <v>1590.73</v>
      </c>
      <c r="F6" s="2437"/>
      <c r="G6" s="1529" t="s">
        <v>1112</v>
      </c>
      <c r="H6" s="45" t="s">
        <v>1113</v>
      </c>
      <c r="I6" s="2433" t="e">
        <f>ROUND(F31/D31,2)</f>
        <v>#DIV/0!</v>
      </c>
      <c r="J6" s="2437"/>
      <c r="K6" s="2437"/>
      <c r="L6" s="2437"/>
      <c r="M6" s="2437"/>
      <c r="N6" s="2437"/>
      <c r="O6" s="2437"/>
      <c r="P6" s="2437"/>
    </row>
    <row r="7" spans="1:16" ht="15.75" thickBot="1">
      <c r="A7" s="3239"/>
      <c r="B7" s="3240"/>
      <c r="C7" s="3241"/>
      <c r="D7" s="1524" t="s">
        <v>1107</v>
      </c>
      <c r="E7" s="1528" t="s">
        <v>1114</v>
      </c>
      <c r="F7" s="2437"/>
      <c r="G7" s="2434" t="s">
        <v>1115</v>
      </c>
      <c r="H7" s="95"/>
      <c r="I7" s="2435">
        <v>1.2</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1590.73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1590.73</v>
      </c>
      <c r="F16" s="2437"/>
      <c r="G16" s="2437"/>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3375</v>
      </c>
      <c r="D19" s="43">
        <f>ROUND($D$3*E19/$E$3,2)</f>
        <v>0</v>
      </c>
      <c r="E19" s="51">
        <f t="shared" ref="E19:E26" si="1">SUM(F19:G19)</f>
        <v>1590.73</v>
      </c>
      <c r="F19" s="2555">
        <f>'数据-基础表'!I13</f>
        <v>1590.73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1590.73</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1590.73</v>
      </c>
      <c r="F27" s="1072">
        <f>IF(SUM(F19:F26)=E8,SUM(F19:F26),"地上面积有误")</f>
        <v>1590.73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1590.73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1590.73</v>
      </c>
      <c r="F31" s="644">
        <f>F27+F30</f>
        <v>1590.73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45009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60016</v>
      </c>
      <c r="F6" s="61">
        <f>SUMIF(项目基本情况!C$12:I$12,C6,项目基本情况!C$15:I$15)</f>
        <v>41.11</v>
      </c>
      <c r="G6" s="62">
        <f>IF(ISERROR(ROUND(POWER(1+H6,D6-F6)*(POWER(1+H6,F6)-1)/(POWER(1+H6,D6)-1),3)),0,ROUND(POWER(1+H6,D6-F6)*(POWER(1+H6,F6)-1)/(POWER(1+H6,D6)-1),3))</f>
        <v>0.94799999999999995</v>
      </c>
      <c r="H6" s="3155">
        <v>0.05</v>
      </c>
      <c r="I6" s="3155">
        <v>5.5E-2</v>
      </c>
      <c r="J6" s="63">
        <v>0.08</v>
      </c>
      <c r="K6" s="970">
        <f>SUMIF('数据-汇总表'!C$19:C$33,A6,'数据-汇总表'!E$19:E$33)</f>
        <v>1590.73</v>
      </c>
      <c r="L6" s="3161">
        <v>3900</v>
      </c>
      <c r="M6" s="64">
        <f t="shared" ref="M6:M14" si="0">ROUND(K6*L6/10000,0)</f>
        <v>620</v>
      </c>
      <c r="N6" s="690">
        <v>0.9</v>
      </c>
      <c r="O6" s="64" t="str">
        <f>IF($N$5="成新度","——",ROUND(M6*N6,0))</f>
        <v>——</v>
      </c>
      <c r="P6" s="65" t="str">
        <f>IF($N$5="成新度","——",M6-O6)</f>
        <v>——</v>
      </c>
      <c r="Q6" s="3157">
        <v>0.12</v>
      </c>
      <c r="R6" s="66">
        <f ca="1">SUMIF('数据-汇总表'!C$19:C$33,A6,'数据-汇总表'!R$19:R$27)</f>
        <v>0</v>
      </c>
      <c r="S6" s="49">
        <f>IF('数据-汇总表'!$I$17="按面积比例",SUMIF('数据-汇总表'!C$19:C$33,A6,'数据-汇总表'!K$19:K$33),SUMIF('数据-汇总表'!C$19:C$33,A6,'数据-汇总表'!N$19:N$33))</f>
        <v>0</v>
      </c>
      <c r="T6" s="1092">
        <f>ROUND($L$14*S6/10000,0)</f>
        <v>0</v>
      </c>
      <c r="U6" s="3124">
        <v>1.2</v>
      </c>
      <c r="V6" s="3158">
        <v>2.5000000000000001E-2</v>
      </c>
      <c r="W6" s="67">
        <v>0.1</v>
      </c>
      <c r="X6" s="979"/>
      <c r="Y6" s="68">
        <f>N6</f>
        <v>0.9</v>
      </c>
      <c r="Z6" s="69"/>
      <c r="AA6" s="63"/>
      <c r="AB6" s="63"/>
      <c r="AC6" s="979"/>
      <c r="AD6" s="70"/>
      <c r="AE6" s="980">
        <f ca="1">IF(AN6="",0,SUMIF(INDIRECT("'"&amp;AN6&amp;"'"&amp;"!E:E"),$AE$5,INDIRECT("'"&amp;AN6&amp;"'"&amp;"!F:F")))</f>
        <v>41.11</v>
      </c>
      <c r="AF6" s="74"/>
      <c r="AG6" s="130">
        <f>IF(AF6="",0,AE6-AF6)</f>
        <v>0</v>
      </c>
      <c r="AH6" s="71"/>
      <c r="AI6" s="73">
        <v>365</v>
      </c>
      <c r="AJ6" s="74"/>
      <c r="AK6" s="75">
        <v>0.01</v>
      </c>
      <c r="AL6" s="76">
        <v>1E-3</v>
      </c>
      <c r="AM6" s="77">
        <v>0.01</v>
      </c>
      <c r="AN6" s="1589" t="s">
        <v>3378</v>
      </c>
      <c r="AO6" s="50">
        <f ca="1">SUMIF(INDIRECT("'"&amp;AN6&amp;"'"&amp;"!A:A"),"总价",INDIRECT("'"&amp;AN6&amp;"'"&amp;"!B:B"))</f>
        <v>991.25210000000004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0.94799999999999995</v>
      </c>
      <c r="H16" s="84">
        <f>ROUND(SUMPRODUCT(H6:H13,K6:K13)/SUMPRODUCT((H6:H13&gt;0)*(K6:K13)),3)</f>
        <v>0.05</v>
      </c>
      <c r="I16" s="85"/>
      <c r="J16" s="85"/>
      <c r="K16" s="86">
        <f>SUM(K6:K15)</f>
        <v>1590.73</v>
      </c>
      <c r="L16" s="87">
        <f>ROUND(M16*10000/SUM(K6:K14),0)</f>
        <v>3898</v>
      </c>
      <c r="M16" s="87">
        <f>SUM(M6:M14)</f>
        <v>620</v>
      </c>
      <c r="N16" s="88">
        <f>ROUND(SUMPRODUCT(M6:M14,N6:N14)/M16,3)</f>
        <v>0.9</v>
      </c>
      <c r="O16" s="87">
        <f>SUM(O6:O14)</f>
        <v>0</v>
      </c>
      <c r="P16" s="87">
        <f>SUM(P6:P14)</f>
        <v>0</v>
      </c>
      <c r="Q16" s="89">
        <f>ROUND(SUMPRODUCT(Q6:Q13,K6:K13)/SUMPRODUCT((Q6:Q13&gt;0)*(K6:K13)),2)</f>
        <v>0.12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f>2023-2017</f>
        <v>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2293</v>
      </c>
      <c r="D19" s="2449"/>
      <c r="E19" s="2437"/>
      <c r="F19" s="2437"/>
      <c r="G19" s="2437"/>
      <c r="H19" s="2437"/>
      <c r="I19" s="2437"/>
      <c r="J19" s="2437"/>
      <c r="K19" s="2447"/>
      <c r="L19" s="2447"/>
      <c r="M19" s="2446"/>
      <c r="N19" s="2446">
        <f>54/60</f>
        <v>0.9</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2291</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2295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 ca="1">'成本法 (元)'!C10</f>
        <v>127258</v>
      </c>
      <c r="C29" s="2561" t="s">
        <v>2282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2283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2284</v>
      </c>
      <c r="D34" s="2457" t="s">
        <v>2292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2285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2286</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2287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2287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3397</v>
      </c>
      <c r="B40" s="1015">
        <f ca="1">IF(A40="利息：取LPR",存贷款利率!G1,存贷款利率!G1+C40)</f>
        <v>4.1499999999999995E-2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2296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2288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2289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2297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2288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8" t="s">
        <v>1246</v>
      </c>
      <c r="D53" s="2563" t="s">
        <v>2294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48" t="s">
        <v>2274</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2271</v>
      </c>
      <c r="D2" s="1595"/>
      <c r="E2" s="2260"/>
      <c r="F2" s="2263"/>
      <c r="G2" s="2262" t="s">
        <v>2272</v>
      </c>
      <c r="H2" s="751"/>
      <c r="I2" s="751"/>
      <c r="J2" s="751"/>
      <c r="K2" s="751"/>
      <c r="L2" s="751"/>
      <c r="M2" s="751"/>
      <c r="N2" s="751"/>
      <c r="O2" s="751"/>
      <c r="P2" s="751"/>
      <c r="Q2" s="751"/>
    </row>
    <row r="3" spans="1:29" ht="24">
      <c r="A3" s="2247" t="s">
        <v>2273</v>
      </c>
      <c r="B3" s="2264" t="s">
        <v>2249</v>
      </c>
      <c r="C3" s="2265"/>
      <c r="D3" s="2266"/>
      <c r="E3" s="2248" t="s">
        <v>2273</v>
      </c>
      <c r="F3" s="2267" t="s">
        <v>2250</v>
      </c>
      <c r="G3" s="3142" t="s">
        <v>3389</v>
      </c>
      <c r="H3" s="751"/>
      <c r="I3" s="751"/>
      <c r="J3" s="751"/>
      <c r="K3" s="751"/>
      <c r="L3" s="751"/>
      <c r="M3" s="751"/>
      <c r="N3" s="751"/>
      <c r="O3" s="751"/>
      <c r="P3" s="751"/>
      <c r="Q3" s="751"/>
    </row>
    <row r="4" spans="1:29">
      <c r="A4" s="2248"/>
      <c r="B4" s="315" t="s">
        <v>2251</v>
      </c>
      <c r="C4" s="2268"/>
      <c r="D4" s="2266"/>
      <c r="E4" s="2269"/>
      <c r="F4" s="1281" t="s">
        <v>2252</v>
      </c>
      <c r="G4" s="3143" t="s">
        <v>3390</v>
      </c>
      <c r="H4" s="751"/>
      <c r="I4" s="751"/>
      <c r="J4" s="751"/>
      <c r="K4" s="751"/>
      <c r="L4" s="751"/>
      <c r="M4" s="751"/>
      <c r="N4" s="751"/>
      <c r="O4" s="751"/>
      <c r="P4" s="751"/>
      <c r="Q4" s="751"/>
    </row>
    <row r="5" spans="1:29">
      <c r="A5" s="2248"/>
      <c r="B5" s="315" t="s">
        <v>2253</v>
      </c>
      <c r="C5" s="2268"/>
      <c r="D5" s="2266"/>
      <c r="E5" s="2269"/>
      <c r="F5" s="315" t="s">
        <v>2254</v>
      </c>
      <c r="G5" s="3143" t="s">
        <v>3391</v>
      </c>
      <c r="H5" s="751"/>
      <c r="I5" s="751"/>
      <c r="J5" s="751"/>
      <c r="K5" s="751"/>
      <c r="L5" s="751"/>
      <c r="M5" s="751"/>
      <c r="N5" s="751"/>
      <c r="O5" s="751"/>
      <c r="P5" s="751"/>
      <c r="Q5" s="751"/>
    </row>
    <row r="6" spans="1:29">
      <c r="A6" s="2248"/>
      <c r="B6" s="315" t="s">
        <v>2255</v>
      </c>
      <c r="C6" s="2270"/>
      <c r="D6" s="2266"/>
      <c r="E6" s="2269"/>
      <c r="F6" s="315" t="s">
        <v>2256</v>
      </c>
      <c r="G6" s="3143" t="s">
        <v>3392</v>
      </c>
      <c r="H6" s="751"/>
      <c r="I6" s="751"/>
      <c r="J6" s="751"/>
      <c r="K6" s="751"/>
      <c r="L6" s="751"/>
      <c r="M6" s="751"/>
      <c r="N6" s="751"/>
      <c r="O6" s="751"/>
      <c r="P6" s="751"/>
      <c r="Q6" s="751"/>
    </row>
    <row r="7" spans="1:29" ht="15" thickBot="1">
      <c r="A7" s="2248"/>
      <c r="B7" s="315" t="s">
        <v>2254</v>
      </c>
      <c r="C7" s="2270"/>
      <c r="D7" s="2245"/>
      <c r="E7" s="2271"/>
      <c r="F7" s="2272" t="s">
        <v>2257</v>
      </c>
      <c r="G7" s="3144" t="s">
        <v>3389</v>
      </c>
      <c r="H7" s="751"/>
      <c r="I7" s="751"/>
      <c r="J7" s="751"/>
      <c r="K7" s="751"/>
      <c r="L7" s="751"/>
      <c r="M7" s="751"/>
      <c r="N7" s="751"/>
      <c r="O7" s="751"/>
      <c r="P7" s="751"/>
      <c r="Q7" s="751"/>
    </row>
    <row r="8" spans="1:29">
      <c r="A8" s="2248"/>
      <c r="B8" s="315" t="s">
        <v>2256</v>
      </c>
      <c r="C8" s="2270"/>
      <c r="D8" s="2245"/>
      <c r="E8" s="2245"/>
      <c r="F8" s="121"/>
      <c r="G8" s="121"/>
      <c r="H8" s="751"/>
      <c r="I8" s="751"/>
      <c r="J8" s="751"/>
      <c r="K8" s="751"/>
      <c r="L8" s="751"/>
      <c r="M8" s="751"/>
      <c r="N8" s="751"/>
      <c r="O8" s="751"/>
      <c r="P8" s="751"/>
      <c r="Q8" s="751"/>
    </row>
    <row r="9" spans="1:29">
      <c r="A9" s="2248"/>
      <c r="B9" s="315" t="s">
        <v>2258</v>
      </c>
      <c r="C9" s="2268"/>
      <c r="D9" s="2266"/>
      <c r="E9" s="2245"/>
      <c r="F9" s="121"/>
      <c r="G9" s="121"/>
      <c r="H9" s="751"/>
      <c r="I9" s="751"/>
      <c r="J9" s="751"/>
      <c r="K9" s="751"/>
      <c r="L9" s="751"/>
      <c r="M9" s="751"/>
      <c r="N9" s="751"/>
      <c r="O9" s="751"/>
      <c r="P9" s="751"/>
      <c r="Q9" s="751"/>
    </row>
    <row r="10" spans="1:29" ht="15" thickBot="1">
      <c r="A10" s="2249"/>
      <c r="B10" s="2273" t="s">
        <v>2259</v>
      </c>
      <c r="C10" s="2274"/>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2275</v>
      </c>
      <c r="B13" s="2278"/>
      <c r="C13" s="2278"/>
      <c r="D13" s="2277"/>
      <c r="E13" s="2278"/>
      <c r="F13" s="2278"/>
      <c r="G13" s="2278"/>
    </row>
    <row r="14" spans="1:29" ht="15" thickBot="1">
      <c r="A14" s="2283"/>
      <c r="B14" s="2283"/>
      <c r="C14" s="2284" t="s">
        <v>2260</v>
      </c>
      <c r="D14" s="2266"/>
      <c r="E14" s="2285"/>
      <c r="F14" s="2285"/>
      <c r="G14" s="2262" t="s">
        <v>2261</v>
      </c>
    </row>
    <row r="15" spans="1:29" ht="24">
      <c r="A15" s="2250" t="s">
        <v>2262</v>
      </c>
      <c r="B15" s="2286" t="s">
        <v>2249</v>
      </c>
      <c r="C15" s="2287">
        <f>C3</f>
        <v>0</v>
      </c>
      <c r="D15" s="2266"/>
      <c r="E15" s="2251" t="s">
        <v>2263</v>
      </c>
      <c r="F15" s="2286" t="s">
        <v>2264</v>
      </c>
      <c r="G15" s="2288" t="str">
        <f>G3</f>
        <v>较好</v>
      </c>
    </row>
    <row r="16" spans="1:29">
      <c r="A16" s="2252"/>
      <c r="B16" s="2289" t="s">
        <v>2251</v>
      </c>
      <c r="C16" s="2290">
        <f>C4</f>
        <v>0</v>
      </c>
      <c r="D16" s="2266"/>
      <c r="E16" s="2253"/>
      <c r="F16" s="2291" t="s">
        <v>2252</v>
      </c>
      <c r="G16" s="2292" t="str">
        <f>G4</f>
        <v>一般</v>
      </c>
    </row>
    <row r="17" spans="1:17">
      <c r="A17" s="2252"/>
      <c r="B17" s="2289" t="s">
        <v>2253</v>
      </c>
      <c r="C17" s="2290">
        <f>C5</f>
        <v>0</v>
      </c>
      <c r="D17" s="2245"/>
      <c r="E17" s="2253"/>
      <c r="F17" s="2291" t="s">
        <v>2265</v>
      </c>
      <c r="G17" s="2293"/>
    </row>
    <row r="18" spans="1:17">
      <c r="A18" s="2252"/>
      <c r="B18" s="2291" t="s">
        <v>2255</v>
      </c>
      <c r="C18" s="2292">
        <f>C6</f>
        <v>0</v>
      </c>
      <c r="D18" s="2245"/>
      <c r="E18" s="2253"/>
      <c r="F18" s="2291" t="s">
        <v>2257</v>
      </c>
      <c r="G18" s="2292" t="str">
        <f>G7</f>
        <v>较好</v>
      </c>
    </row>
    <row r="19" spans="1:17">
      <c r="A19" s="2252"/>
      <c r="B19" s="2291" t="s">
        <v>2266</v>
      </c>
      <c r="C19" s="2293"/>
      <c r="D19" s="2266"/>
      <c r="E19" s="2253"/>
      <c r="F19" s="315" t="s">
        <v>2254</v>
      </c>
      <c r="G19" s="2292" t="str">
        <f>G5</f>
        <v>较差</v>
      </c>
    </row>
    <row r="20" spans="1:17">
      <c r="A20" s="2252"/>
      <c r="B20" s="2291" t="s">
        <v>2267</v>
      </c>
      <c r="C20" s="2290">
        <f>C9</f>
        <v>0</v>
      </c>
      <c r="D20" s="2245"/>
      <c r="E20" s="2253"/>
      <c r="F20" s="315" t="s">
        <v>2256</v>
      </c>
      <c r="G20" s="2292" t="str">
        <f>G6</f>
        <v>七通</v>
      </c>
    </row>
    <row r="21" spans="1:17">
      <c r="A21" s="2252"/>
      <c r="B21" s="315" t="s">
        <v>2254</v>
      </c>
      <c r="C21" s="2292">
        <f>C7</f>
        <v>0</v>
      </c>
      <c r="D21" s="2266"/>
      <c r="E21" s="2253"/>
      <c r="F21" s="2291" t="s">
        <v>2268</v>
      </c>
      <c r="G21" s="2294"/>
    </row>
    <row r="22" spans="1:17" ht="13.5" customHeight="1">
      <c r="A22" s="2252"/>
      <c r="B22" s="315" t="s">
        <v>2256</v>
      </c>
      <c r="C22" s="2292">
        <f>C8</f>
        <v>0</v>
      </c>
      <c r="D22" s="2266"/>
      <c r="E22" s="2253"/>
      <c r="F22" s="2291" t="s">
        <v>2259</v>
      </c>
      <c r="G22" s="2293"/>
    </row>
    <row r="23" spans="1:17" s="751" customFormat="1" ht="15" thickBot="1">
      <c r="A23" s="2252"/>
      <c r="B23" s="2291" t="s">
        <v>2268</v>
      </c>
      <c r="C23" s="2294"/>
      <c r="D23" s="1614"/>
      <c r="E23" s="2254"/>
      <c r="F23" s="2295" t="s">
        <v>2269</v>
      </c>
      <c r="G23" s="2296"/>
      <c r="H23" s="2275"/>
      <c r="I23" s="2275"/>
      <c r="J23" s="2275"/>
      <c r="K23" s="2275"/>
      <c r="L23" s="2275"/>
      <c r="M23" s="2275"/>
      <c r="N23" s="2275"/>
      <c r="O23" s="2275"/>
      <c r="P23" s="2275"/>
      <c r="Q23" s="2275"/>
    </row>
    <row r="24" spans="1:17" s="751" customFormat="1" ht="15" thickBot="1">
      <c r="A24" s="2255"/>
      <c r="B24" s="2295" t="s">
        <v>2270</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90" zoomScaleNormal="80" zoomScaleSheetLayoutView="90" workbookViewId="0">
      <selection activeCell="E7" sqref="E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1590.73</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45009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1062</v>
      </c>
      <c r="C5" s="2298">
        <f ca="1">IF(B5=D14,结果表!H102,ROUND(B5*10000/$B$1,0))</f>
        <v>6678</v>
      </c>
      <c r="D5" s="2298" t="e">
        <f ca="1">ROUND(B5*10000/$B$2,0)</f>
        <v>#DIV/0!</v>
      </c>
      <c r="E5" s="2459"/>
      <c r="F5" s="2460"/>
      <c r="G5" s="2460"/>
      <c r="H5" s="2460"/>
      <c r="I5" s="2460"/>
      <c r="J5" s="2460"/>
      <c r="K5" s="2460"/>
    </row>
    <row r="6" spans="1:11" ht="16.5">
      <c r="A6" s="2298" t="s">
        <v>656</v>
      </c>
      <c r="B6" s="2298">
        <f ca="1">SUM(G14:G23)</f>
        <v>1062</v>
      </c>
      <c r="C6" s="2298">
        <f ca="1">IF(B6=G14,结果表!H108,ROUND(B6*10000/$B$1,0))</f>
        <v>6678</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3351</v>
      </c>
      <c r="D10" s="2298" t="s">
        <v>3352</v>
      </c>
      <c r="E10" s="3134"/>
      <c r="F10" s="3138" t="s">
        <v>3353</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'数据-汇总表'!F19</f>
        <v>1590.73</v>
      </c>
      <c r="C14" s="2304"/>
      <c r="D14" s="2304">
        <f ca="1">ROUND(E14*B14/10000,0)</f>
        <v>1062</v>
      </c>
      <c r="E14" s="2304">
        <f ca="1">结果表!G20</f>
        <v>6678</v>
      </c>
      <c r="F14" s="2304" t="e">
        <f ca="1">ROUND(D14*10000/C14,0)</f>
        <v>#DIV/0!</v>
      </c>
      <c r="G14" s="2304">
        <f ca="1">D14</f>
        <v>1062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3501">
        <f ca="1">D14*10000</f>
        <v>10620000</v>
      </c>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0" zoomScaleNormal="100" zoomScaleSheetLayoutView="80" zoomScalePageLayoutView="80" workbookViewId="0">
      <selection activeCell="F27" sqref="F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7" t="str">
        <f>项目基本情况!S2</f>
        <v>北京市12号楼房地产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3404</v>
      </c>
      <c r="D4" s="1626" t="s">
        <v>3378</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3" t="s">
        <v>1269</v>
      </c>
      <c r="F5" s="1627"/>
      <c r="G5" s="1627"/>
      <c r="H5" s="1627"/>
      <c r="I5" s="1281"/>
    </row>
    <row r="6" spans="1:12" ht="12.75">
      <c r="A6" s="3265"/>
      <c r="B6" s="3320"/>
      <c r="C6" s="3325"/>
      <c r="D6" s="3311"/>
      <c r="E6" s="123" t="s">
        <v>1270</v>
      </c>
      <c r="F6" s="1627"/>
      <c r="G6" s="1627"/>
      <c r="H6" s="1627"/>
      <c r="I6" s="1281"/>
    </row>
    <row r="7" spans="1:12" ht="12.75">
      <c r="A7" s="3265"/>
      <c r="B7" s="3320"/>
      <c r="C7" s="3324"/>
      <c r="D7" s="3311"/>
      <c r="E7" s="123" t="s">
        <v>1271</v>
      </c>
      <c r="F7" s="1627"/>
      <c r="G7" s="1627"/>
      <c r="H7" s="1627"/>
      <c r="I7" s="1281"/>
    </row>
    <row r="8" spans="1:12" ht="12.75">
      <c r="A8" s="3265" t="s">
        <v>1272</v>
      </c>
      <c r="B8" s="3320">
        <v>15</v>
      </c>
      <c r="C8" s="3323"/>
      <c r="D8" s="3311"/>
      <c r="E8" s="123" t="s">
        <v>1273</v>
      </c>
      <c r="F8" s="1627"/>
      <c r="G8" s="1627"/>
      <c r="H8" s="1627"/>
      <c r="I8" s="1281"/>
    </row>
    <row r="9" spans="1:12" ht="12.75">
      <c r="A9" s="3265"/>
      <c r="B9" s="3320"/>
      <c r="C9" s="3324"/>
      <c r="D9" s="3311"/>
      <c r="E9" s="123" t="s">
        <v>1274</v>
      </c>
      <c r="F9" s="1627"/>
      <c r="G9" s="1627"/>
      <c r="H9" s="1627"/>
      <c r="I9" s="1281"/>
    </row>
    <row r="10" spans="1:12" ht="12.75">
      <c r="A10" s="3265" t="s">
        <v>1275</v>
      </c>
      <c r="B10" s="3320">
        <v>15</v>
      </c>
      <c r="C10" s="3323"/>
      <c r="D10" s="3311"/>
      <c r="E10" s="123" t="s">
        <v>1276</v>
      </c>
      <c r="F10" s="1627"/>
      <c r="G10" s="1627"/>
      <c r="H10" s="1627"/>
      <c r="I10" s="1281"/>
    </row>
    <row r="11" spans="1:12" ht="12.75">
      <c r="A11" s="3265"/>
      <c r="B11" s="3320"/>
      <c r="C11" s="3324"/>
      <c r="D11" s="3311"/>
      <c r="E11" s="123" t="s">
        <v>1277</v>
      </c>
      <c r="F11" s="1627"/>
      <c r="G11" s="1627"/>
      <c r="H11" s="1627"/>
      <c r="I11" s="1281"/>
    </row>
    <row r="12" spans="1:12" ht="12.75">
      <c r="A12" s="3265" t="s">
        <v>1278</v>
      </c>
      <c r="B12" s="3320">
        <v>15</v>
      </c>
      <c r="C12" s="3323"/>
      <c r="D12" s="3311"/>
      <c r="E12" s="123" t="s">
        <v>1279</v>
      </c>
      <c r="F12" s="1627"/>
      <c r="G12" s="1627"/>
      <c r="H12" s="1627"/>
      <c r="I12" s="1281"/>
    </row>
    <row r="13" spans="1:12" ht="12.75">
      <c r="A13" s="3265"/>
      <c r="B13" s="3320"/>
      <c r="C13" s="3324"/>
      <c r="D13" s="3311"/>
      <c r="E13" s="123" t="s">
        <v>1280</v>
      </c>
      <c r="F13" s="1627"/>
      <c r="G13" s="1627"/>
      <c r="H13" s="1627"/>
      <c r="I13" s="1281"/>
    </row>
    <row r="14" spans="1:12" ht="12.75">
      <c r="A14" s="3265" t="s">
        <v>1281</v>
      </c>
      <c r="B14" s="3320">
        <v>30</v>
      </c>
      <c r="C14" s="3323">
        <v>5</v>
      </c>
      <c r="D14" s="3311">
        <f>10-C14</f>
        <v>5</v>
      </c>
      <c r="E14" s="123" t="s">
        <v>1282</v>
      </c>
      <c r="F14" s="1627"/>
      <c r="G14" s="1627"/>
      <c r="H14" s="1627"/>
      <c r="I14" s="1281"/>
    </row>
    <row r="15" spans="1:12" ht="12.75">
      <c r="A15" s="3265"/>
      <c r="B15" s="3320"/>
      <c r="C15" s="3325"/>
      <c r="D15" s="3311"/>
      <c r="E15" s="123" t="s">
        <v>1283</v>
      </c>
      <c r="F15" s="1627"/>
      <c r="G15" s="1627"/>
      <c r="H15" s="1627"/>
      <c r="I15" s="1281"/>
    </row>
    <row r="16" spans="1:12" ht="12.75">
      <c r="A16" s="3265"/>
      <c r="B16" s="3320"/>
      <c r="C16" s="3324"/>
      <c r="D16" s="331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2" t="s">
        <v>2130</v>
      </c>
      <c r="F18" s="3343"/>
      <c r="G18" s="3343"/>
      <c r="H18" s="3343"/>
      <c r="I18" s="3343"/>
      <c r="K18" s="294" t="s">
        <v>1289</v>
      </c>
      <c r="L18" s="294">
        <f>IF(C1="",'数据-汇总表'!E3,SUMIF(项目类型,C1,'数据-汇总表'!E17:E26)+SUMIF(项目类型,C1,'数据-汇总表'!I17:I26))</f>
        <v>1590.73</v>
      </c>
      <c r="M18" s="294">
        <f>IF(C1="",'数据-汇总表'!E3,SUMIF(项目类型,C1,'数据-汇总表'!E17:E26))</f>
        <v>1590.73</v>
      </c>
    </row>
    <row r="19" spans="1:36" ht="15">
      <c r="A19" s="1630" t="s">
        <v>1290</v>
      </c>
      <c r="B19" s="1631" t="s">
        <v>1291</v>
      </c>
      <c r="C19" s="126">
        <f ca="1">SUMIF(INDIRECT("'"&amp;C4&amp;"'"&amp;"!A:A"),结果表!B19,INDIRECT("'"&amp;C4&amp;"'"&amp;"!B:B"))</f>
        <v>1133.4058</v>
      </c>
      <c r="D19" s="127">
        <f ca="1">SUMIF(INDIRECT("'"&amp;D4&amp;"'"&amp;"!A:A"),结果表!B19,INDIRECT("'"&amp;D4&amp;"'"&amp;"!B:B"))</f>
        <v>991.25210000000004</v>
      </c>
      <c r="E19" s="1630" t="s">
        <v>1292</v>
      </c>
      <c r="F19" s="1631" t="s">
        <v>1291</v>
      </c>
      <c r="G19" s="128">
        <f ca="1">ROUND(C19*$C$18+D19*$D$18,0)</f>
        <v>1062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7125</v>
      </c>
      <c r="D20" s="130">
        <f ca="1">SUMIF(INDIRECT("'"&amp;D4&amp;"'"&amp;"!A:A"),结果表!B20,INDIRECT("'"&amp;D4&amp;"'"&amp;"!B:B"))</f>
        <v>6231</v>
      </c>
      <c r="E20" s="1633"/>
      <c r="F20" s="43" t="s">
        <v>1295</v>
      </c>
      <c r="G20" s="131">
        <f ca="1">ROUND(C20*$C$18+D20*$D$18,0)</f>
        <v>6678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0.14340822077451332</v>
      </c>
      <c r="E22" s="121"/>
      <c r="F22" s="121"/>
      <c r="G22" s="121"/>
      <c r="H22" s="121"/>
      <c r="I22" s="121"/>
    </row>
    <row r="23" spans="1:36" ht="13.5" thickBot="1">
      <c r="A23" s="646"/>
      <c r="B23" s="646"/>
      <c r="C23" s="646"/>
      <c r="D23" s="646"/>
      <c r="E23" s="121"/>
      <c r="F23" s="121"/>
      <c r="G23" s="121"/>
      <c r="H23" s="121"/>
      <c r="I23" s="121"/>
    </row>
    <row r="24" spans="1:36" ht="14.25">
      <c r="A24" s="3335" t="s">
        <v>1299</v>
      </c>
      <c r="B24" s="1631" t="s">
        <v>1291</v>
      </c>
      <c r="C24" s="128">
        <f>IF(B30=0,0,D30)</f>
        <v>0</v>
      </c>
      <c r="D24" s="1637"/>
      <c r="E24" s="121"/>
      <c r="F24" s="121"/>
      <c r="G24" s="121"/>
      <c r="H24" s="121"/>
      <c r="I24" s="121"/>
    </row>
    <row r="25" spans="1:36" ht="14.25">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6678</v>
      </c>
      <c r="D32" s="1641" t="s">
        <v>3459</v>
      </c>
      <c r="E32" s="121"/>
      <c r="F32" s="121"/>
      <c r="G32" s="121"/>
      <c r="H32" s="121"/>
      <c r="I32" s="121"/>
    </row>
    <row r="33" spans="1:15" ht="15">
      <c r="A33" s="740" t="s">
        <v>1306</v>
      </c>
      <c r="B33" s="123"/>
      <c r="C33" s="1642" t="s">
        <v>3403</v>
      </c>
      <c r="D33" s="1643" t="s">
        <v>3404</v>
      </c>
      <c r="E33" s="1644" t="s">
        <v>1307</v>
      </c>
      <c r="F33" s="1645" t="str">
        <f>IF(D32="楼面单价","取值（单价）","取值（总价）")</f>
        <v>取值（单价）</v>
      </c>
      <c r="G33" s="121"/>
      <c r="H33" s="121"/>
      <c r="I33" s="121"/>
    </row>
    <row r="34" spans="1:15" ht="15">
      <c r="A34" s="1646"/>
      <c r="B34" s="1647" t="s">
        <v>1308</v>
      </c>
      <c r="C34" s="140">
        <f ca="1">IF(C33="自定义",F34,C32-C35)</f>
        <v>1970</v>
      </c>
      <c r="D34" s="808">
        <f ca="1">IF(C33="自定义",ROUND(C34/C32,3),IF(C33="收益比率",SUMIF(INDIRECT("'"&amp;D33&amp;"'"&amp;"!b:b"),"土地收益比率",INDIRECT("'"&amp;D33&amp;"'"&amp;"!c:c")),SUMIF(INDIRECT("'"&amp;D33&amp;"'"&amp;"!b:b"),"土地成本比率",INDIRECT("'"&amp;D33&amp;"'"&amp;"!c:c"))))</f>
        <v>0.29500000000000004</v>
      </c>
      <c r="E34" s="1648" t="s">
        <v>1309</v>
      </c>
      <c r="F34" s="1243"/>
      <c r="G34" s="121"/>
      <c r="H34" s="121"/>
      <c r="I34" s="121"/>
    </row>
    <row r="35" spans="1:15" ht="15.75" thickBot="1">
      <c r="A35" s="1649"/>
      <c r="B35" s="1650" t="s">
        <v>1310</v>
      </c>
      <c r="C35" s="1090">
        <f ca="1">IF(C33="自定义",F35,ROUND(C32*D35,0))</f>
        <v>4708</v>
      </c>
      <c r="D35" s="1091">
        <f ca="1">IF(C33="自定义",ROUND(C35/C32,3),IF(C33="收益比率",SUMIF(INDIRECT("'"&amp;D33&amp;"'"&amp;"!b:b"),"建筑物收益比率",INDIRECT("'"&amp;D33&amp;"'"&amp;"!c:c")),SUMIF(INDIRECT("'"&amp;D33&amp;"'"&amp;"!b:b"),"建筑物成本比率",INDIRECT("'"&amp;D33&amp;"'"&amp;"!c:c"))))</f>
        <v>0.70499999999999996</v>
      </c>
      <c r="E35" s="1651" t="s">
        <v>1311</v>
      </c>
      <c r="F35" s="146"/>
      <c r="G35" s="121"/>
      <c r="H35" s="121"/>
      <c r="I35" s="121"/>
    </row>
    <row r="36" spans="1:15" ht="15.75" thickBot="1">
      <c r="A36" s="3312" t="s">
        <v>1312</v>
      </c>
      <c r="B36" s="1652" t="s">
        <v>1313</v>
      </c>
      <c r="C36" s="137"/>
      <c r="D36" s="1653"/>
      <c r="E36" s="1567"/>
      <c r="F36" s="1654"/>
      <c r="G36" s="121"/>
      <c r="H36" s="121"/>
      <c r="I36" s="121"/>
    </row>
    <row r="37" spans="1:15" ht="15.75" thickBot="1">
      <c r="A37" s="3313"/>
      <c r="B37" s="1555" t="s">
        <v>1314</v>
      </c>
      <c r="C37" s="139"/>
      <c r="D37" s="1071"/>
      <c r="E37" s="1071"/>
      <c r="F37" s="1654"/>
      <c r="G37" s="121"/>
      <c r="H37" s="121"/>
      <c r="I37" s="121"/>
    </row>
    <row r="38" spans="1:15" ht="15.75" thickBot="1">
      <c r="A38" s="331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f ca="1">ROUND(H101*F45,0)</f>
        <v>1062</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08">
        <v>1</v>
      </c>
      <c r="K46" s="3253" t="s">
        <v>1331</v>
      </c>
      <c r="L46" s="3253"/>
      <c r="M46" s="3254"/>
      <c r="N46" s="3254"/>
      <c r="O46" s="3254"/>
    </row>
    <row r="47" spans="1:15" ht="12" customHeight="1">
      <c r="A47" s="152" t="s">
        <v>1332</v>
      </c>
      <c r="B47" s="153"/>
      <c r="C47" s="154"/>
      <c r="D47" s="1024" t="s">
        <v>1333</v>
      </c>
      <c r="E47" s="294" t="s">
        <v>1334</v>
      </c>
      <c r="F47" s="155" t="s">
        <v>1335</v>
      </c>
      <c r="G47" s="2331" t="s">
        <v>1336</v>
      </c>
      <c r="H47" s="2332"/>
      <c r="I47" s="151"/>
      <c r="J47" s="2308">
        <v>2</v>
      </c>
      <c r="K47" s="3253" t="s">
        <v>1337</v>
      </c>
      <c r="L47" s="3253"/>
      <c r="M47" s="3255">
        <f>'数据-取费表'!B2</f>
        <v>45009</v>
      </c>
      <c r="N47" s="3255"/>
      <c r="O47" s="3255"/>
    </row>
    <row r="48" spans="1:15" ht="25.5">
      <c r="A48" s="3315" t="s">
        <v>1338</v>
      </c>
      <c r="B48" s="3316"/>
      <c r="C48" s="3316"/>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53" t="s">
        <v>1340</v>
      </c>
      <c r="L48" s="3253"/>
      <c r="M48" s="3256">
        <f ca="1">H101</f>
        <v>1062</v>
      </c>
      <c r="N48" s="3256"/>
      <c r="O48" s="3256"/>
    </row>
    <row r="49" spans="1:35" ht="25.5" customHeight="1">
      <c r="A49" s="2152" t="s">
        <v>1341</v>
      </c>
      <c r="B49" s="3301" t="s">
        <v>1342</v>
      </c>
      <c r="C49" s="3301"/>
      <c r="D49" s="1478">
        <v>0</v>
      </c>
      <c r="E49" s="316" t="s">
        <v>1343</v>
      </c>
      <c r="F49" s="2233" t="s">
        <v>28</v>
      </c>
      <c r="G49" s="3284"/>
      <c r="H49" s="2134" t="s">
        <v>2133</v>
      </c>
      <c r="I49" s="2135"/>
      <c r="J49" s="2308">
        <v>4</v>
      </c>
      <c r="K49" s="3253" t="str">
        <f>IF(项目基本情况!E8="房地产抵押价值","房地产抵押价值","抵押担保权已注销时的房地产抵押价值")</f>
        <v>抵押担保权已注销时的房地产抵押价值</v>
      </c>
      <c r="L49" s="3253"/>
      <c r="M49" s="3256" t="str">
        <f>IF(项目基本情况!E8="房地产抵押价值",H107,H109)</f>
        <v>——</v>
      </c>
      <c r="N49" s="3256"/>
      <c r="O49" s="3256"/>
    </row>
    <row r="50" spans="1:35" ht="25.5" customHeight="1">
      <c r="A50" s="2336"/>
      <c r="B50" s="3301" t="s">
        <v>1344</v>
      </c>
      <c r="C50" s="3301"/>
      <c r="D50" s="2189"/>
      <c r="E50" s="323"/>
      <c r="F50" s="2233"/>
      <c r="G50" s="3285"/>
      <c r="H50" s="2136" t="s">
        <v>2134</v>
      </c>
      <c r="I50" s="2135"/>
      <c r="J50" s="3252" t="s">
        <v>1345</v>
      </c>
      <c r="K50" s="3252"/>
      <c r="L50" s="3252"/>
      <c r="M50" s="3252"/>
      <c r="N50" s="3252"/>
      <c r="O50" s="3252"/>
    </row>
    <row r="51" spans="1:35" ht="20.45" customHeight="1">
      <c r="A51" s="2337"/>
      <c r="B51" s="3301" t="s">
        <v>1346</v>
      </c>
      <c r="C51" s="3301"/>
      <c r="D51" s="1024"/>
      <c r="E51" s="319"/>
      <c r="F51" s="2233"/>
      <c r="G51" s="3286"/>
      <c r="H51" s="2136" t="s">
        <v>2135</v>
      </c>
      <c r="I51" s="2135"/>
      <c r="J51" s="2309" t="s">
        <v>1347</v>
      </c>
      <c r="K51" s="3253" t="s">
        <v>1348</v>
      </c>
      <c r="L51" s="3253"/>
      <c r="M51" s="2309" t="s">
        <v>1349</v>
      </c>
      <c r="N51" s="2309" t="s">
        <v>1350</v>
      </c>
      <c r="O51" s="2309" t="s">
        <v>1351</v>
      </c>
    </row>
    <row r="52" spans="1:35" ht="24" customHeight="1">
      <c r="A52" s="2153" t="s">
        <v>1352</v>
      </c>
      <c r="B52" s="3301" t="s">
        <v>1353</v>
      </c>
      <c r="C52" s="3301"/>
      <c r="D52" s="1024">
        <f ca="1">ROUND(D45*'数据-取费表'!B41/(1+'数据-取费表'!C42),0)</f>
        <v>56</v>
      </c>
      <c r="E52" s="1256" t="s">
        <v>1354</v>
      </c>
      <c r="F52" s="2338">
        <f>'数据-取费表'!B41</f>
        <v>5.5000000000000007E-2</v>
      </c>
      <c r="G52" s="2339"/>
      <c r="H52" s="2329"/>
      <c r="I52" s="1669"/>
      <c r="J52" s="2308">
        <v>1</v>
      </c>
      <c r="K52" s="3278" t="s">
        <v>1355</v>
      </c>
      <c r="L52" s="3278"/>
      <c r="M52" s="2310" t="b">
        <f>D48</f>
        <v>0</v>
      </c>
      <c r="N52" s="2308" t="str">
        <f>E48</f>
        <v>销售额×税（费）率</v>
      </c>
      <c r="O52" s="2311">
        <f>F48</f>
        <v>5.5000000000000007E-2</v>
      </c>
    </row>
    <row r="53" spans="1:35" ht="12" customHeight="1">
      <c r="A53" s="2153" t="s">
        <v>1356</v>
      </c>
      <c r="B53" s="3302" t="s">
        <v>2279</v>
      </c>
      <c r="C53" s="3303"/>
      <c r="D53" s="1024">
        <f ca="1">ROUND(D45*'数据-取费表'!B41/(1+'数据-取费表'!C42),0)</f>
        <v>56</v>
      </c>
      <c r="E53" s="1256" t="s">
        <v>1354</v>
      </c>
      <c r="F53" s="2338">
        <f>'数据-取费表'!B41</f>
        <v>5.5000000000000007E-2</v>
      </c>
      <c r="G53" s="2339"/>
      <c r="H53" s="2329"/>
      <c r="I53" s="1669"/>
      <c r="J53" s="2308">
        <v>2</v>
      </c>
      <c r="K53" s="3278" t="s">
        <v>1357</v>
      </c>
      <c r="L53" s="3278"/>
      <c r="M53" s="2310">
        <f t="shared" ref="M53:O54" ca="1" si="0">D55</f>
        <v>1</v>
      </c>
      <c r="N53" s="2308" t="str">
        <f t="shared" si="0"/>
        <v>销售额×税（费）率</v>
      </c>
      <c r="O53" s="2311" t="str">
        <f t="shared" si="0"/>
        <v>免征</v>
      </c>
    </row>
    <row r="54" spans="1:35" ht="12" customHeight="1">
      <c r="A54" s="2153" t="s">
        <v>1358</v>
      </c>
      <c r="B54" s="3302" t="s">
        <v>2280</v>
      </c>
      <c r="C54" s="3303"/>
      <c r="D54" s="1024">
        <f ca="1">C68</f>
        <v>56</v>
      </c>
      <c r="E54" s="319" t="s">
        <v>1359</v>
      </c>
      <c r="F54" s="2338">
        <f>'数据-取费表'!B41</f>
        <v>5.5000000000000007E-2</v>
      </c>
      <c r="G54" s="2339"/>
      <c r="H54" s="2340"/>
      <c r="I54" s="1669"/>
      <c r="J54" s="2308">
        <v>3</v>
      </c>
      <c r="K54" s="3278" t="s">
        <v>1360</v>
      </c>
      <c r="L54" s="3278"/>
      <c r="M54" s="2310">
        <f t="shared" ca="1" si="0"/>
        <v>602</v>
      </c>
      <c r="N54" s="2308" t="str">
        <f t="shared" si="0"/>
        <v>增值额×税（费）率</v>
      </c>
      <c r="O54" s="2312" t="str">
        <f t="shared" si="0"/>
        <v>免征</v>
      </c>
    </row>
    <row r="55" spans="1:35" ht="24" customHeight="1">
      <c r="A55" s="3338" t="s">
        <v>1361</v>
      </c>
      <c r="B55" s="3316"/>
      <c r="C55" s="3316"/>
      <c r="D55" s="12">
        <f ca="1">IF(H55="个人住宅",0,ROUND(D45*I55,0))</f>
        <v>1</v>
      </c>
      <c r="E55" s="1256" t="s">
        <v>1362</v>
      </c>
      <c r="F55" s="2338" t="str">
        <f>IF(H55="正常",I55,"免征")</f>
        <v>免征</v>
      </c>
      <c r="G55" s="2339"/>
      <c r="H55" s="2335"/>
      <c r="I55" s="157">
        <f>'数据-取费表'!B49</f>
        <v>5.0000000000000001E-4</v>
      </c>
      <c r="J55" s="2308">
        <f>IF(H59="非个人房产","",4)</f>
        <v>4</v>
      </c>
      <c r="K55" s="3278" t="str">
        <f>IF(H59="非个人房产","——","个人所得税")</f>
        <v>个人所得税</v>
      </c>
      <c r="L55" s="3278"/>
      <c r="M55" s="2313">
        <f ca="1">D59</f>
        <v>10</v>
      </c>
      <c r="N55" s="1883" t="str">
        <f>E59</f>
        <v>差额计税</v>
      </c>
      <c r="O55" s="2314">
        <f>F59</f>
        <v>0.01</v>
      </c>
    </row>
    <row r="56" spans="1:35" ht="24.75">
      <c r="A56" s="3338" t="s">
        <v>1363</v>
      </c>
      <c r="B56" s="3316"/>
      <c r="C56" s="3316"/>
      <c r="D56" s="12">
        <f ca="1">IF(H56="个人住宅",D57,D58)</f>
        <v>602</v>
      </c>
      <c r="E56" s="1256" t="s">
        <v>1364</v>
      </c>
      <c r="F56" s="2338" t="str">
        <f>IF(H56="正常",F58,"免征")</f>
        <v>免征</v>
      </c>
      <c r="G56" s="2341" t="s">
        <v>1365</v>
      </c>
      <c r="H56" s="2342"/>
      <c r="I56" s="1670"/>
      <c r="J56" s="2308" t="str">
        <f>IF(项目基本情况!K6="上海银行",IF(J55="",4,J55+1),"")</f>
        <v/>
      </c>
      <c r="K56" s="3259" t="str">
        <f>IF(项目基本情况!K6="上海银行","其他处置费用","")</f>
        <v/>
      </c>
      <c r="L56" s="3260"/>
      <c r="M56" s="2310" t="str">
        <f>IF(项目基本情况!K6="上海银行",M69,"")</f>
        <v/>
      </c>
      <c r="N56" s="3259" t="str">
        <f>IF(项目基本情况!K6="上海银行","包含处置中涉及的律师、诉讼、拍卖、评估等费用","")</f>
        <v/>
      </c>
      <c r="O56" s="3262"/>
    </row>
    <row r="57" spans="1:35" ht="12.75">
      <c r="A57" s="2153" t="s">
        <v>1341</v>
      </c>
      <c r="B57" s="3302" t="s">
        <v>1366</v>
      </c>
      <c r="C57" s="3303"/>
      <c r="D57" s="1478">
        <v>0</v>
      </c>
      <c r="E57" s="316" t="s">
        <v>1343</v>
      </c>
      <c r="F57" s="294"/>
      <c r="G57" s="2339"/>
      <c r="H57" s="2343"/>
      <c r="I57" s="1670"/>
      <c r="J57" s="3278">
        <f>IF(AND(J55="",J56=""),4,IF(项目基本情况!K6="上海银行",结果表!J56+1,结果表!J55+1))</f>
        <v>5</v>
      </c>
      <c r="K57" s="3278" t="s">
        <v>1367</v>
      </c>
      <c r="L57" s="2315" t="s">
        <v>1368</v>
      </c>
      <c r="M57" s="2316"/>
      <c r="N57" s="2317">
        <f ca="1">SUMIF(M52:M56,"&lt;9e307")</f>
        <v>613</v>
      </c>
      <c r="O57" s="2318"/>
      <c r="P57" s="2462" t="e">
        <f ca="1">N57/M49</f>
        <v>#VALUE!</v>
      </c>
    </row>
    <row r="58" spans="1:35" ht="24.75">
      <c r="A58" s="2153" t="s">
        <v>1352</v>
      </c>
      <c r="B58" s="3302" t="s">
        <v>1369</v>
      </c>
      <c r="C58" s="3301"/>
      <c r="D58" s="12">
        <f ca="1">IF(H58="转让取得",C81,C97)</f>
        <v>602</v>
      </c>
      <c r="E58" s="1256" t="s">
        <v>1364</v>
      </c>
      <c r="F58" s="294" t="s">
        <v>28</v>
      </c>
      <c r="G58" s="2339"/>
      <c r="H58" s="2342"/>
      <c r="I58" s="1670"/>
      <c r="J58" s="3278"/>
      <c r="K58" s="3278"/>
      <c r="L58" s="2315" t="s">
        <v>1370</v>
      </c>
      <c r="M58" s="2319"/>
      <c r="N58" s="2320" t="str">
        <f ca="1">NUMBERSTRING(INT(N57*10000),2)&amp;"元整"</f>
        <v>陆佰壹拾叁万元整</v>
      </c>
      <c r="O58" s="2321"/>
    </row>
    <row r="59" spans="1:35" ht="24.75" thickBot="1">
      <c r="A59" s="3282" t="s">
        <v>1371</v>
      </c>
      <c r="B59" s="3283"/>
      <c r="C59" s="3283"/>
      <c r="D59" s="2344">
        <f ca="1">IF(H59="非个人房产","——",IF(H59="个人住宅（满五唯一有凭证）",0,IF(H59="个人其他（无凭证）",ROUND(D45*F59,0),ROUND(C67*F59,0))))</f>
        <v>10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2136</v>
      </c>
      <c r="J59" s="3280">
        <f>J57+1</f>
        <v>6</v>
      </c>
      <c r="K59" s="3278" t="s">
        <v>1372</v>
      </c>
      <c r="L59" s="2308" t="s">
        <v>1368</v>
      </c>
      <c r="M59" s="2322"/>
      <c r="N59" s="2323" t="e">
        <f ca="1">M49-N57</f>
        <v>#VALUE!</v>
      </c>
      <c r="O59" s="2324"/>
    </row>
    <row r="60" spans="1:35" ht="12" customHeight="1">
      <c r="A60" s="1671"/>
      <c r="B60" s="646"/>
      <c r="C60" s="646"/>
      <c r="D60" s="646"/>
      <c r="E60" s="1466"/>
      <c r="F60" s="1670"/>
      <c r="G60" s="1670"/>
      <c r="H60" s="151"/>
      <c r="I60" s="121"/>
      <c r="J60" s="3281"/>
      <c r="K60" s="3278"/>
      <c r="L60" s="2315" t="s">
        <v>1370</v>
      </c>
      <c r="M60" s="2319"/>
      <c r="N60" s="2320" t="e">
        <f ca="1">NUMBERSTRING(INT(N59*10000),2)&amp;"元整"</f>
        <v>#VALUE!</v>
      </c>
      <c r="O60" s="2321"/>
    </row>
    <row r="61" spans="1:35" ht="13.5" thickBot="1">
      <c r="A61" s="3337" t="s">
        <v>1373</v>
      </c>
      <c r="B61" s="3337"/>
      <c r="C61" s="3337"/>
      <c r="D61" s="3337"/>
      <c r="E61" s="3337"/>
      <c r="F61" s="1670"/>
      <c r="G61" s="1670"/>
      <c r="H61" s="151"/>
      <c r="I61" s="121"/>
      <c r="J61" s="2308">
        <f>J59+1</f>
        <v>7</v>
      </c>
      <c r="K61" s="3278" t="s">
        <v>1374</v>
      </c>
      <c r="L61" s="3278"/>
      <c r="M61" s="2325"/>
      <c r="N61" s="2326" t="e">
        <f ca="1">ROUND(N59*10000/'数据-汇总表'!E3,0)</f>
        <v>#VALUE!</v>
      </c>
      <c r="O61" s="2327"/>
    </row>
    <row r="62" spans="1:35" ht="12.75">
      <c r="A62" s="3297" t="s">
        <v>1375</v>
      </c>
      <c r="B62" s="3298"/>
      <c r="C62" s="1865"/>
      <c r="D62" s="1865" t="s">
        <v>1376</v>
      </c>
      <c r="E62" s="158" t="s">
        <v>1377</v>
      </c>
      <c r="F62" s="1670"/>
      <c r="G62" s="1670"/>
      <c r="H62" s="151"/>
      <c r="I62" s="121"/>
    </row>
    <row r="63" spans="1:35" ht="12.75">
      <c r="A63" s="165" t="s">
        <v>330</v>
      </c>
      <c r="B63" s="159" t="s">
        <v>1378</v>
      </c>
      <c r="C63" s="2348">
        <f ca="1">ROUND((C64+C65)/(1+'数据-取费表'!C42),0)</f>
        <v>1011</v>
      </c>
      <c r="D63" s="159"/>
      <c r="E63" s="160"/>
      <c r="F63" s="1670"/>
      <c r="G63" s="1670"/>
      <c r="H63" s="151"/>
      <c r="I63" s="121"/>
      <c r="J63" s="326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1062</v>
      </c>
      <c r="D64" s="162" t="s">
        <v>26</v>
      </c>
      <c r="E64" s="164"/>
      <c r="F64" s="1670"/>
      <c r="G64" s="1670"/>
      <c r="H64" s="151"/>
      <c r="I64" s="121"/>
      <c r="J64" s="326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6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61"/>
      <c r="K66" s="1245" t="s">
        <v>1387</v>
      </c>
      <c r="L66" s="1245" t="e">
        <f>M49*0.5%</f>
        <v>#VALUE!</v>
      </c>
      <c r="M66" s="294" t="e">
        <f>IF(L66&gt;0.5,0.5,ROUND(L66,0))</f>
        <v>#VALUE!</v>
      </c>
      <c r="N66" s="2329" t="s">
        <v>1388</v>
      </c>
      <c r="Z66" s="1623"/>
      <c r="AI66" s="1561"/>
    </row>
    <row r="67" spans="1:35" ht="14.25" customHeight="1">
      <c r="A67" s="165" t="s">
        <v>328</v>
      </c>
      <c r="B67" s="166" t="s">
        <v>1389</v>
      </c>
      <c r="C67" s="2352">
        <f ca="1">C63-C66</f>
        <v>1011</v>
      </c>
      <c r="D67" s="162" t="s">
        <v>26</v>
      </c>
      <c r="E67" s="164"/>
      <c r="F67" s="1670"/>
      <c r="G67" s="1670"/>
      <c r="H67" s="151"/>
      <c r="I67" s="121"/>
      <c r="J67" s="326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56</v>
      </c>
      <c r="D68" s="2354">
        <f>'数据-取费表'!B41</f>
        <v>5.5000000000000007E-2</v>
      </c>
      <c r="E68" s="170"/>
      <c r="F68" s="1670"/>
      <c r="G68" s="1670"/>
      <c r="H68" s="151"/>
      <c r="I68" s="121"/>
      <c r="J68" s="326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61"/>
      <c r="K69" s="1245" t="s">
        <v>1393</v>
      </c>
      <c r="L69" s="1245"/>
      <c r="M69" s="294" t="e">
        <f>ROUND(SUM(M63:M68),0)</f>
        <v>#VALUE!</v>
      </c>
      <c r="N69" s="2330" t="e">
        <f>M69/M49</f>
        <v>#VALUE!</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1011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v>
      </c>
      <c r="D78" s="2361">
        <f>'数据-取费表'!B43</f>
        <v>5.000000000000001E-3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1006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602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1011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2276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3" t="s">
        <v>2128</v>
      </c>
      <c r="H90" s="3264"/>
      <c r="I90" s="1681"/>
      <c r="J90" s="2306" t="s">
        <v>2277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4" t="s">
        <v>1422</v>
      </c>
      <c r="F92" s="3295"/>
      <c r="G92" s="3295"/>
      <c r="H92" s="3296"/>
      <c r="I92" s="1681"/>
      <c r="J92" s="2307" t="s">
        <v>2278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v>
      </c>
      <c r="D93" s="2361">
        <f>'数据-取费表'!B43</f>
        <v>5.000000000000001E-3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1006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602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69" t="str">
        <f>C4</f>
        <v>成本法 (元)</v>
      </c>
      <c r="D101" s="2370" t="str">
        <f>D4</f>
        <v>收益法 (元)</v>
      </c>
      <c r="E101" s="3257" t="s">
        <v>1431</v>
      </c>
      <c r="F101" s="3258"/>
      <c r="G101" s="1687" t="s">
        <v>1432</v>
      </c>
      <c r="H101" s="2379">
        <f ca="1">H118</f>
        <v>1062</v>
      </c>
      <c r="I101" s="121"/>
    </row>
    <row r="102" spans="1:35" ht="18.75" customHeight="1">
      <c r="A102" s="3289" t="s">
        <v>1433</v>
      </c>
      <c r="B102" s="2368" t="s">
        <v>1432</v>
      </c>
      <c r="C102" s="2369">
        <f ca="1">IF(D32="楼面单价",ROUND(C19,0),C19)</f>
        <v>1133</v>
      </c>
      <c r="D102" s="2370">
        <f ca="1">IF(D32="楼面单价",ROUND(D19,0),D19)</f>
        <v>991</v>
      </c>
      <c r="E102" s="3257"/>
      <c r="F102" s="3258"/>
      <c r="G102" s="1687" t="s">
        <v>1434</v>
      </c>
      <c r="H102" s="2339">
        <f ca="1">I118</f>
        <v>6678</v>
      </c>
      <c r="I102" s="121"/>
    </row>
    <row r="103" spans="1:35" ht="42.75" customHeight="1">
      <c r="A103" s="3289"/>
      <c r="B103" s="2368" t="s">
        <v>1434</v>
      </c>
      <c r="C103" s="2371">
        <f ca="1">C20</f>
        <v>7125</v>
      </c>
      <c r="D103" s="2372">
        <f ca="1">D20</f>
        <v>6231</v>
      </c>
      <c r="E103" s="3250" t="s">
        <v>1435</v>
      </c>
      <c r="F103" s="3251"/>
      <c r="G103" s="1688" t="s">
        <v>1436</v>
      </c>
      <c r="H103" s="2379">
        <f>IF(D36="正常操作",H104+H105+H106,H105+H106)</f>
        <v>0</v>
      </c>
      <c r="I103" s="121"/>
    </row>
    <row r="104" spans="1:35" ht="18.75" customHeight="1">
      <c r="A104" s="3289" t="s">
        <v>1437</v>
      </c>
      <c r="B104" s="2373" t="s">
        <v>1432</v>
      </c>
      <c r="C104" s="2374">
        <f ca="1">H118</f>
        <v>1062</v>
      </c>
      <c r="D104" s="2375"/>
      <c r="E104" s="1555" t="s">
        <v>1438</v>
      </c>
      <c r="F104" s="1548"/>
      <c r="G104" s="1688" t="s">
        <v>1436</v>
      </c>
      <c r="H104" s="2380">
        <f>IF(D36="同一抵押权人同一抵押物续贷",C36&amp;"（续贷，未扣减，详见特别提示）",C36)</f>
        <v>0</v>
      </c>
      <c r="I104" s="121"/>
    </row>
    <row r="105" spans="1:35" ht="18.75" customHeight="1" thickBot="1">
      <c r="A105" s="3299"/>
      <c r="B105" s="2376" t="s">
        <v>1434</v>
      </c>
      <c r="C105" s="2377">
        <f ca="1">I118</f>
        <v>6678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0" t="str">
        <f>IF(项目基本情况!E8="已注销","——","3.房地产抵押价值")</f>
        <v>3.房地产抵押价值</v>
      </c>
      <c r="F107" s="3258"/>
      <c r="G107" s="1687" t="s">
        <v>1432</v>
      </c>
      <c r="H107" s="2379">
        <f ca="1">IF(E107="——","——",H101-H103)</f>
        <v>1062</v>
      </c>
      <c r="I107" s="121"/>
    </row>
    <row r="108" spans="1:35" ht="18.75" customHeight="1">
      <c r="A108" s="121"/>
      <c r="B108" s="121"/>
      <c r="C108" s="121"/>
      <c r="D108" s="121"/>
      <c r="E108" s="3290"/>
      <c r="F108" s="3258"/>
      <c r="G108" s="1687" t="s">
        <v>1434</v>
      </c>
      <c r="H108" s="2339">
        <f ca="1">IF(H107=H101,H102,ROUND(H107*10000/'数据-汇总表'!E3,0))</f>
        <v>6678</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2" t="str">
        <f>IF(E109="——","——",H101-H105-H106)</f>
        <v>——</v>
      </c>
      <c r="I109" s="121"/>
    </row>
    <row r="110" spans="1:35" ht="18.75" customHeight="1">
      <c r="A110" s="121"/>
      <c r="B110" s="121"/>
      <c r="C110" s="121"/>
      <c r="D110" s="121"/>
      <c r="E110" s="3290"/>
      <c r="F110" s="3258"/>
      <c r="G110" s="1687" t="s">
        <v>1434</v>
      </c>
      <c r="H110" s="2339"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79" t="str">
        <f>IF(E111="——","——",N59)</f>
        <v>——</v>
      </c>
      <c r="I111" s="121"/>
    </row>
    <row r="112" spans="1:35" ht="18.75" customHeight="1" thickBot="1">
      <c r="A112" s="121"/>
      <c r="B112" s="121"/>
      <c r="C112" s="121"/>
      <c r="D112" s="121"/>
      <c r="E112" s="3292"/>
      <c r="F112" s="3293"/>
      <c r="G112" s="1690" t="s">
        <v>1434</v>
      </c>
      <c r="H112" s="2383"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50" t="s">
        <v>1449</v>
      </c>
      <c r="E117" s="2150" t="s">
        <v>1450</v>
      </c>
      <c r="F117" s="2150" t="s">
        <v>1449</v>
      </c>
      <c r="G117" s="2150" t="s">
        <v>1451</v>
      </c>
      <c r="H117" s="2150" t="s">
        <v>1449</v>
      </c>
      <c r="I117" s="2150" t="s">
        <v>1451</v>
      </c>
    </row>
    <row r="118" spans="1:27" ht="24.75" customHeight="1">
      <c r="A118" s="2384" t="str">
        <f>项目基本情况!S2</f>
        <v>北京市12号楼房地产</v>
      </c>
      <c r="B118" s="2150">
        <f>M18</f>
        <v>1590.73</v>
      </c>
      <c r="C118" s="2150">
        <f>M19</f>
        <v>0</v>
      </c>
      <c r="D118" s="2150">
        <f ca="1">ROUND(IF(D32="总价",C34,E118*B118/10000),0)</f>
        <v>313</v>
      </c>
      <c r="E118" s="2150">
        <f ca="1">ROUND(IF(C33="自定义",IF(D32="楼面单价",C34,D118*10000/B118),I118-G118),0)</f>
        <v>1970</v>
      </c>
      <c r="F118" s="2150">
        <f ca="1">ROUND(IF(D32="总价",C35,G118*B118/10000),0)</f>
        <v>749</v>
      </c>
      <c r="G118" s="2150">
        <f ca="1">ROUND(IF(D32="楼面单价",C35,F118*10000/B118),0)</f>
        <v>4708</v>
      </c>
      <c r="H118" s="2150">
        <f ca="1">ROUND(IF(D32="总价",C32,I118*B118/10000),0)</f>
        <v>1062</v>
      </c>
      <c r="I118" s="2150">
        <f ca="1">ROUND(IF(D32="楼面单价",C32,H118*10000/B118),0)</f>
        <v>6678</v>
      </c>
    </row>
    <row r="119" spans="1:27" ht="18.75" customHeight="1">
      <c r="A119" s="3265" t="s">
        <v>1452</v>
      </c>
      <c r="B119" s="3265"/>
      <c r="C119" s="3265"/>
      <c r="D119" s="3271" t="str">
        <f ca="1">NUMBERSTRING(INT(D118*10000),2)&amp;"元整"</f>
        <v>叁佰壹拾叁万元整</v>
      </c>
      <c r="E119" s="3272"/>
      <c r="F119" s="3271" t="str">
        <f ca="1">NUMBERSTRING(INT(F118*10000),2)&amp;"元整"</f>
        <v>柒佰肆拾玖万元整</v>
      </c>
      <c r="G119" s="3272"/>
      <c r="H119" s="3271" t="str">
        <f ca="1">NUMBERSTRING(INT(H118*10000),2)&amp;"元整"</f>
        <v>壹仟零陆拾贰万元整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1062</v>
      </c>
      <c r="E122" s="3267"/>
      <c r="F122" s="3267"/>
      <c r="G122" s="3267"/>
      <c r="H122" s="3267"/>
      <c r="I122" s="3268"/>
      <c r="AA122" s="684"/>
    </row>
    <row r="123" spans="1:27" ht="18.75" customHeight="1">
      <c r="A123" s="3265" t="s">
        <v>1452</v>
      </c>
      <c r="B123" s="3265"/>
      <c r="C123" s="3265"/>
      <c r="D123" s="3271" t="str">
        <f ca="1">NUMBERSTRING(INT(D122*10000),2)&amp;"元整"</f>
        <v>壹仟零陆拾贰万元整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1133.4058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7125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2518920</v>
      </c>
      <c r="D5" s="203" t="s">
        <v>1469</v>
      </c>
      <c r="E5" s="204" t="s">
        <v>1470</v>
      </c>
      <c r="F5" s="204" t="s">
        <v>1471</v>
      </c>
      <c r="G5" s="205"/>
    </row>
    <row r="6" spans="1:8" s="206" customFormat="1" ht="13.5" customHeight="1">
      <c r="A6" s="732" t="s">
        <v>1472</v>
      </c>
      <c r="B6" s="207" t="s">
        <v>1473</v>
      </c>
      <c r="C6" s="208">
        <f ca="1">ROUND('土地比较法-工业'!C42*'成本法 (元)'!D10,0)</f>
        <v>2320875</v>
      </c>
      <c r="D6" s="209"/>
      <c r="E6" s="210"/>
      <c r="F6" s="210"/>
      <c r="G6" s="211"/>
    </row>
    <row r="7" spans="1:8" s="206" customFormat="1" ht="13.5" customHeight="1">
      <c r="A7" s="732" t="s">
        <v>1474</v>
      </c>
      <c r="B7" s="207" t="s">
        <v>1475</v>
      </c>
      <c r="C7" s="212">
        <f ca="1">ROUND(C6*F7,0)</f>
        <v>70787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127258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127258</v>
      </c>
      <c r="D10" s="795">
        <f ca="1">IF(B1="",'数据-汇总表'!E6,IF(INDIRECT("'数据-取费表'!c"&amp;$G$1)="住宅",INDIRECT("'数据-取费表'!s"&amp;$G$1),INDIRECT("'数据-取费表'!k"&amp;$G$1)+INDIRECT("'数据-取费表'!s"&amp;$G$1)))</f>
        <v>1590.73</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1590.73</v>
      </c>
      <c r="E19" s="203">
        <f>'数据-取费表'!B31</f>
        <v>200</v>
      </c>
      <c r="F19" s="223"/>
      <c r="G19" s="1714" t="s">
        <v>3398</v>
      </c>
    </row>
    <row r="20" spans="1:7" s="206" customFormat="1" ht="13.5" customHeight="1">
      <c r="A20" s="247" t="s">
        <v>1574</v>
      </c>
      <c r="B20" s="202" t="s">
        <v>1575</v>
      </c>
      <c r="C20" s="224">
        <f ca="1">ROUND((C5+C19)*F20,0)</f>
        <v>50378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215500</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213409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2091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308316</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ROUND((C5+C19+C20)*F27,0)</f>
        <v>308316</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3346077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6925243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6203847</v>
      </c>
      <c r="D34" s="209"/>
      <c r="E34" s="212"/>
      <c r="F34" s="249"/>
      <c r="G34" s="211"/>
    </row>
    <row r="35" spans="1:7" ht="13.5" customHeight="1">
      <c r="A35" s="734" t="s">
        <v>351</v>
      </c>
      <c r="B35" s="207" t="s">
        <v>1527</v>
      </c>
      <c r="C35" s="212">
        <f ca="1">ROUND(C34*F35,0)</f>
        <v>310192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318146</v>
      </c>
      <c r="D37" s="209">
        <f ca="1">D19</f>
        <v>1590.73</v>
      </c>
      <c r="E37" s="241">
        <f>'数据-取费表'!B35</f>
        <v>200</v>
      </c>
      <c r="F37" s="251"/>
      <c r="G37" s="253"/>
    </row>
    <row r="38" spans="1:7" ht="13.5" customHeight="1">
      <c r="A38" s="734" t="s">
        <v>354</v>
      </c>
      <c r="B38" s="207" t="s">
        <v>1533</v>
      </c>
      <c r="C38" s="212">
        <f ca="1">ROUND(C34*F38,0)</f>
        <v>93058</v>
      </c>
      <c r="D38" s="212"/>
      <c r="E38" s="212"/>
      <c r="F38" s="251">
        <f>'数据-取费表'!B36</f>
        <v>1.4999999999999999E-2</v>
      </c>
      <c r="G38" s="211" t="s">
        <v>1528</v>
      </c>
    </row>
    <row r="39" spans="1:7" s="206" customFormat="1" ht="13.5" customHeight="1">
      <c r="A39" s="247" t="s">
        <v>1534</v>
      </c>
      <c r="B39" s="202" t="s">
        <v>1535</v>
      </c>
      <c r="C39" s="224">
        <f ca="1">ROUND(C33*F20,0)</f>
        <v>138505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293146</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287398</v>
      </c>
      <c r="D42" s="230"/>
      <c r="E42" s="230"/>
      <c r="F42" s="231"/>
      <c r="G42" s="3344" t="s">
        <v>1591</v>
      </c>
    </row>
    <row r="43" spans="1:7" ht="13.5" customHeight="1">
      <c r="A43" s="734" t="s">
        <v>347</v>
      </c>
      <c r="B43" s="207" t="s">
        <v>1545</v>
      </c>
      <c r="C43" s="230">
        <f ca="1">ROUND(IF('数据-取费表'!B22&lt;=1,C39*F22*'数据-取费表'!B20/2,C39*(POWER((1+F22),'数据-取费表'!B20/2)-1)),0)</f>
        <v>5748</v>
      </c>
      <c r="D43" s="230"/>
      <c r="E43" s="230"/>
      <c r="F43" s="231"/>
      <c r="G43" s="3345"/>
    </row>
    <row r="44" spans="1:7" ht="13.5" customHeight="1">
      <c r="A44" s="734" t="s">
        <v>348</v>
      </c>
      <c r="B44" s="207" t="s">
        <v>1546</v>
      </c>
      <c r="C44" s="230">
        <f ca="1">ROUND(IF('数据-取费表'!B22&lt;=1,C40*F22*'数据-取费表'!B20/2,C40*(POWER((1+F22),'数据-取费表'!B20/2)-1)),4)</f>
        <v>8.0000000000000004E-4</v>
      </c>
      <c r="D44" s="230"/>
      <c r="E44" s="230"/>
      <c r="F44" s="231"/>
      <c r="G44" s="3346"/>
    </row>
    <row r="45" spans="1:7" s="206" customFormat="1" ht="13.5" customHeight="1">
      <c r="A45" s="247" t="s">
        <v>1547</v>
      </c>
      <c r="B45" s="236" t="s">
        <v>1513</v>
      </c>
      <c r="C45" s="237">
        <f ca="1">C46</f>
        <v>847650</v>
      </c>
      <c r="D45" s="227">
        <f ca="1">C47</f>
        <v>2.3999999999999998E-3</v>
      </c>
      <c r="E45" s="228" t="s">
        <v>1539</v>
      </c>
      <c r="F45" s="238">
        <f ca="1">F27</f>
        <v>0.12</v>
      </c>
      <c r="G45" s="239" t="s">
        <v>1548</v>
      </c>
    </row>
    <row r="46" spans="1:7" s="206" customFormat="1" ht="13.5" customHeight="1">
      <c r="A46" s="734" t="s">
        <v>346</v>
      </c>
      <c r="B46" s="240" t="s">
        <v>1549</v>
      </c>
      <c r="C46" s="241">
        <f ca="1">ROUND((C33+C39)*F27,0)</f>
        <v>847650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8875534</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7987981</v>
      </c>
      <c r="D51" s="224"/>
      <c r="E51" s="224"/>
      <c r="F51" s="256"/>
      <c r="G51" s="226" t="s">
        <v>1560</v>
      </c>
    </row>
    <row r="52" spans="1:7" s="200" customFormat="1" ht="16.5" thickBot="1">
      <c r="A52" s="257" t="s">
        <v>1561</v>
      </c>
      <c r="B52" s="258"/>
      <c r="C52" s="259">
        <f ca="1">C31+C51</f>
        <v>11334058</v>
      </c>
      <c r="D52" s="258"/>
      <c r="E52" s="258"/>
      <c r="F52" s="258"/>
      <c r="G52" s="260"/>
    </row>
    <row r="55" spans="1:7" ht="15">
      <c r="B55" s="262" t="s">
        <v>1562</v>
      </c>
      <c r="C55" s="263"/>
    </row>
    <row r="56" spans="1:7">
      <c r="B56" s="265" t="s">
        <v>802</v>
      </c>
      <c r="C56" s="267">
        <f ca="1">1-C57</f>
        <v>0.29500000000000004</v>
      </c>
    </row>
    <row r="57" spans="1:7">
      <c r="B57" s="265" t="s">
        <v>803</v>
      </c>
      <c r="C57" s="266">
        <f ca="1">ROUND(C51/C52,3)</f>
        <v>0.70499999999999996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北京市12号楼房地产抵押价值预评估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83"/>
  <sheetViews>
    <sheetView view="pageBreakPreview" topLeftCell="A28" zoomScale="80" zoomScaleNormal="70" zoomScaleSheetLayoutView="80" workbookViewId="0">
      <selection activeCell="K48" sqref="K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41.11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991.25210000000004</v>
      </c>
      <c r="C2" s="1289" t="s">
        <v>879</v>
      </c>
      <c r="D2" s="1375">
        <f ca="1">C40+J29+L46</f>
        <v>9912521</v>
      </c>
      <c r="E2" s="1295" t="s">
        <v>880</v>
      </c>
      <c r="F2" s="1296"/>
      <c r="G2" s="2476"/>
      <c r="H2" s="2466"/>
      <c r="I2" s="2466"/>
      <c r="J2" s="2466"/>
      <c r="K2" s="2467"/>
      <c r="L2" s="2466"/>
      <c r="M2" s="2466"/>
    </row>
    <row r="3" spans="1:37" ht="18" customHeight="1" thickBot="1">
      <c r="A3" s="1297" t="s">
        <v>881</v>
      </c>
      <c r="B3" s="1298">
        <f ca="1">IF(ISERROR(D2/F43),0,ROUND(D2/F43,0))</f>
        <v>6231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627850</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627066</v>
      </c>
      <c r="D6" s="147" t="s">
        <v>2105</v>
      </c>
      <c r="E6" s="294" t="s">
        <v>696</v>
      </c>
      <c r="F6" s="295">
        <f ca="1">INDIRECT("'数据-取费表'!u"&amp;$G$1)</f>
        <v>1.2</v>
      </c>
      <c r="G6" s="1292"/>
      <c r="H6" s="1006" t="s">
        <v>398</v>
      </c>
      <c r="I6" s="3347" t="s">
        <v>694</v>
      </c>
      <c r="J6" s="293">
        <f ca="1">ROUND(M6*M8*M7*(1-M9),0)</f>
        <v>0</v>
      </c>
      <c r="K6" s="1284" t="s">
        <v>2106</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1590.73</v>
      </c>
      <c r="G7" s="1292"/>
      <c r="H7" s="296"/>
      <c r="I7" s="3348"/>
      <c r="J7" s="298"/>
      <c r="K7" s="299"/>
      <c r="L7" s="294" t="s">
        <v>697</v>
      </c>
      <c r="M7" s="295">
        <f ca="1">F7</f>
        <v>1590.73</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784</v>
      </c>
      <c r="D10" s="150" t="s">
        <v>2115</v>
      </c>
      <c r="E10" s="305" t="s">
        <v>701</v>
      </c>
      <c r="F10" s="1053" t="s">
        <v>3399</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7987981</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6203847</v>
      </c>
      <c r="D14" s="1257" t="s">
        <v>708</v>
      </c>
      <c r="E14" s="1255"/>
      <c r="F14" s="311"/>
      <c r="G14" s="1292"/>
      <c r="H14" s="928" t="s">
        <v>398</v>
      </c>
      <c r="I14" s="294" t="s">
        <v>709</v>
      </c>
      <c r="J14" s="21">
        <f ca="1">C29</f>
        <v>8875534</v>
      </c>
      <c r="K14" s="12"/>
      <c r="L14" s="759"/>
      <c r="M14" s="760"/>
    </row>
    <row r="15" spans="1:37" s="1304" customFormat="1" ht="18" customHeight="1" thickBot="1">
      <c r="A15" s="928" t="s">
        <v>399</v>
      </c>
      <c r="B15" s="294" t="s">
        <v>710</v>
      </c>
      <c r="C15" s="21">
        <f ca="1">ROUND(C14*F15,0)</f>
        <v>310192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88755</v>
      </c>
      <c r="K16" s="1024" t="s">
        <v>715</v>
      </c>
      <c r="L16" s="1025"/>
      <c r="M16" s="1009"/>
    </row>
    <row r="17" spans="1:37" s="1304" customFormat="1" ht="18" customHeight="1">
      <c r="A17" s="928" t="s">
        <v>681</v>
      </c>
      <c r="B17" s="294" t="s">
        <v>716</v>
      </c>
      <c r="C17" s="21">
        <f ca="1">ROUND(F17*(F43+INDIRECT("'数据-取费表'!S"&amp;$G$1)),0)</f>
        <v>318146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93058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6925243</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138505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88755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293146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-88755</v>
      </c>
      <c r="K25" s="1032" t="s">
        <v>753</v>
      </c>
      <c r="L25" s="1033"/>
      <c r="M25" s="1034"/>
    </row>
    <row r="26" spans="1:37" ht="18" customHeight="1">
      <c r="A26" s="928" t="s">
        <v>397</v>
      </c>
      <c r="B26" s="294" t="s">
        <v>754</v>
      </c>
      <c r="C26" s="21">
        <f ca="1">ROUND((C19+C20)*F26,0)</f>
        <v>847650</v>
      </c>
      <c r="D26" s="315" t="s">
        <v>755</v>
      </c>
      <c r="E26" s="305" t="s">
        <v>756</v>
      </c>
      <c r="F26" s="304">
        <f ca="1">INDIRECT("'数据-取费表'!q"&amp;$G$1)</f>
        <v>0.12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2.3999999999999998E-3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8875534</v>
      </c>
      <c r="D29" s="1029"/>
      <c r="E29" s="1027"/>
      <c r="F29" s="1030"/>
      <c r="G29" s="1303"/>
      <c r="H29" s="325" t="s">
        <v>396</v>
      </c>
      <c r="I29" s="326" t="s">
        <v>768</v>
      </c>
      <c r="J29" s="327">
        <f ca="1">ROUND(J26/(1+F40)^F41,0)</f>
        <v>0</v>
      </c>
      <c r="K29" s="328" t="s">
        <v>769</v>
      </c>
      <c r="L29" s="329"/>
      <c r="M29" s="330">
        <f ca="1">INDIRECT("'数据-取费表'!k"&amp;$G$1)</f>
        <v>1590.73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207533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104511</v>
      </c>
      <c r="D31" s="1257" t="s">
        <v>720</v>
      </c>
      <c r="E31" s="1256" t="s">
        <v>770</v>
      </c>
      <c r="F31" s="2139" t="str">
        <f>IF(项目基本情况!B11="企业","——",IF(M47="住宅",IF(F6*F7*F8/12/(1+'数据-取费表'!F30)&gt;100000,4%,2.5%),IF(F6*F7*F8/12/(1+'数据-取费表'!F30)&gt;100000,12%,7%)))</f>
        <v>——</v>
      </c>
      <c r="G31" s="1292"/>
      <c r="H31" s="2567" t="s">
        <v>2298</v>
      </c>
      <c r="I31" s="1305"/>
      <c r="J31" s="1306"/>
      <c r="K31" s="121"/>
      <c r="L31" s="2469"/>
      <c r="M31" s="2470"/>
    </row>
    <row r="32" spans="1:37" ht="18" customHeight="1">
      <c r="A32" s="928" t="s">
        <v>397</v>
      </c>
      <c r="B32" s="294" t="s">
        <v>723</v>
      </c>
      <c r="C32" s="21">
        <f ca="1">IF(项目基本情况!B11="自然人","——",ROUND(C6*F32/(1+'数据-取费表'!C42),0))</f>
        <v>32846</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71665</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88755</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7988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6279</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420317</v>
      </c>
      <c r="D39" s="1032" t="s">
        <v>773</v>
      </c>
      <c r="E39" s="1033"/>
      <c r="F39" s="1034"/>
      <c r="G39" s="1292"/>
      <c r="H39" s="2471"/>
      <c r="I39" s="1305"/>
      <c r="J39" s="1306"/>
      <c r="K39" s="2469"/>
      <c r="L39" s="2471"/>
      <c r="M39" s="2471"/>
    </row>
    <row r="40" spans="1:18" ht="18" customHeight="1">
      <c r="A40" s="291" t="s">
        <v>395</v>
      </c>
      <c r="B40" s="292" t="s">
        <v>774</v>
      </c>
      <c r="C40" s="293">
        <f ca="1">ROUND(C39*(1-((1+F42)/(1+F40))^F41)/(F40-F42),0)</f>
        <v>9730947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41.11</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6117</v>
      </c>
      <c r="D43" s="328" t="s">
        <v>777</v>
      </c>
      <c r="E43" s="329" t="s">
        <v>778</v>
      </c>
      <c r="F43" s="330">
        <f ca="1">INDIRECT("'数据-取费表'!k"&amp;$G$1)</f>
        <v>1590.73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-1129.5219</v>
      </c>
      <c r="D45" s="3128" t="s">
        <v>3348</v>
      </c>
      <c r="E45" s="1307"/>
      <c r="F45" s="1307"/>
      <c r="O45" s="1310" t="s">
        <v>808</v>
      </c>
      <c r="P45" s="1366"/>
      <c r="Q45" s="1366"/>
      <c r="R45" s="1366"/>
    </row>
    <row r="46" spans="1:18" s="1292" customFormat="1" ht="13.5" thickBot="1">
      <c r="A46" s="1311" t="s">
        <v>809</v>
      </c>
      <c r="C46" s="1312">
        <f ca="1">ROUND(C45,0)</f>
        <v>-1130</v>
      </c>
      <c r="D46" s="1313" t="str">
        <f>C2</f>
        <v>万元</v>
      </c>
      <c r="I46" s="1314" t="s">
        <v>810</v>
      </c>
      <c r="J46" s="1315"/>
      <c r="K46" s="1316"/>
      <c r="L46" s="1317">
        <f ca="1">IF(M47="住宅",0,IF(L48&gt;J51,L60,J60))</f>
        <v>181574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3400</v>
      </c>
      <c r="K47" s="1323" t="s">
        <v>816</v>
      </c>
      <c r="L47" s="1324">
        <f ca="1">INDIRECT("'数据-取费表'!d"&amp;$G$1)</f>
        <v>50</v>
      </c>
      <c r="M47" s="1288" t="str">
        <f>IF(ISNUMBER(FIND("住宅",C1)),"住宅","非住宅")</f>
        <v>非住宅</v>
      </c>
      <c r="O47" s="1325" t="s">
        <v>403</v>
      </c>
      <c r="P47" s="1326" t="s">
        <v>817</v>
      </c>
      <c r="Q47" s="1327">
        <f ca="1">C40+J29</f>
        <v>9730947</v>
      </c>
      <c r="R47" s="1327" t="s">
        <v>818</v>
      </c>
    </row>
    <row r="48" spans="1:18" s="1292" customFormat="1" ht="28.5" thickBot="1">
      <c r="A48" s="1047" t="s">
        <v>438</v>
      </c>
      <c r="B48" s="292" t="s">
        <v>692</v>
      </c>
      <c r="C48" s="1268">
        <f ca="1">C49+C53+C55</f>
        <v>0</v>
      </c>
      <c r="D48" s="1049"/>
      <c r="E48" s="1050"/>
      <c r="F48" s="908"/>
      <c r="G48" s="681"/>
      <c r="H48" s="682"/>
      <c r="I48" s="1328" t="s">
        <v>819</v>
      </c>
      <c r="J48" s="1329" t="s">
        <v>3401</v>
      </c>
      <c r="K48" s="1330" t="s">
        <v>820</v>
      </c>
      <c r="L48" s="1331">
        <f ca="1">INDIRECT("'数据-取费表'!f"&amp;$G$1)</f>
        <v>41.11</v>
      </c>
      <c r="O48" s="1325" t="s">
        <v>404</v>
      </c>
      <c r="P48" s="1326" t="s">
        <v>821</v>
      </c>
      <c r="Q48" s="1327">
        <f ca="1">J60</f>
        <v>181574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8875534</v>
      </c>
      <c r="R49" s="1327" t="s">
        <v>818</v>
      </c>
    </row>
    <row r="50" spans="1:18" s="1292" customFormat="1" ht="13.5" thickBot="1">
      <c r="A50" s="922"/>
      <c r="B50" s="925"/>
      <c r="C50" s="926"/>
      <c r="D50" s="899"/>
      <c r="E50" s="993" t="s">
        <v>697</v>
      </c>
      <c r="F50" s="994">
        <f ca="1">F7</f>
        <v>1590.73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-4060596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41.11</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41.11</v>
      </c>
      <c r="K53" s="3350" t="s">
        <v>837</v>
      </c>
      <c r="L53" s="3351"/>
      <c r="O53" s="1325" t="s">
        <v>409</v>
      </c>
      <c r="P53" s="1326" t="s">
        <v>838</v>
      </c>
      <c r="Q53" s="1327">
        <f ca="1">Q47+Q48</f>
        <v>9912521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0.215</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7987981</v>
      </c>
      <c r="D56" s="1352"/>
      <c r="E56" s="1353"/>
      <c r="F56" s="1345"/>
      <c r="I56" s="1354" t="s">
        <v>842</v>
      </c>
      <c r="J56" s="1355" t="s">
        <v>3402</v>
      </c>
      <c r="K56" s="1328" t="s">
        <v>843</v>
      </c>
      <c r="L56" s="1331" t="str">
        <f ca="1">IF(L48&lt;J51,"——",L48-J51)</f>
        <v>——</v>
      </c>
      <c r="O56" s="1325" t="s">
        <v>403</v>
      </c>
      <c r="P56" s="1326" t="s">
        <v>817</v>
      </c>
      <c r="Q56" s="1327">
        <f ca="1">C40+J29</f>
        <v>9730947</v>
      </c>
      <c r="R56" s="1327" t="s">
        <v>818</v>
      </c>
    </row>
    <row r="57" spans="1:18" s="1292" customFormat="1" ht="24.75" thickBot="1">
      <c r="A57" s="1356"/>
      <c r="B57" s="896" t="s">
        <v>767</v>
      </c>
      <c r="C57" s="230">
        <f ca="1">C29</f>
        <v>8875534</v>
      </c>
      <c r="D57" s="1357"/>
      <c r="E57" s="1358"/>
      <c r="F57" s="1359"/>
      <c r="I57" s="1360" t="s">
        <v>844</v>
      </c>
      <c r="J57" s="1361">
        <f ca="1">IF(OR(M47="住宅",J51&lt;L48,J56="是"),"——",J51-L48)</f>
        <v>12.89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96743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3550214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181574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9730947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88755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7988</v>
      </c>
      <c r="D65" s="910" t="s">
        <v>743</v>
      </c>
      <c r="E65" s="896" t="s">
        <v>744</v>
      </c>
      <c r="F65" s="321">
        <f t="shared" ca="1" si="0"/>
        <v>1E-3</v>
      </c>
      <c r="I65" s="1367" t="s">
        <v>867</v>
      </c>
      <c r="J65" s="610">
        <v>40</v>
      </c>
      <c r="K65" s="610">
        <v>30</v>
      </c>
      <c r="L65" s="610">
        <v>50</v>
      </c>
      <c r="M65" s="1369">
        <v>0.02</v>
      </c>
      <c r="O65" s="1325" t="s">
        <v>403</v>
      </c>
      <c r="P65" s="1326" t="s">
        <v>868</v>
      </c>
      <c r="Q65" s="1327">
        <f ca="1">C40+J29</f>
        <v>9730947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-96743</v>
      </c>
      <c r="D67" s="909" t="s">
        <v>753</v>
      </c>
      <c r="E67" s="914"/>
      <c r="F67" s="915"/>
      <c r="O67" s="1334" t="s">
        <v>405</v>
      </c>
      <c r="P67" s="1326" t="s">
        <v>850</v>
      </c>
      <c r="Q67" s="1370">
        <f ca="1">L51</f>
        <v>-4060596</v>
      </c>
      <c r="R67" s="1327" t="s">
        <v>870</v>
      </c>
    </row>
    <row r="68" spans="1:18" s="1292" customFormat="1" ht="16.5" thickBot="1">
      <c r="A68" s="893" t="s">
        <v>395</v>
      </c>
      <c r="B68" s="894" t="s">
        <v>774</v>
      </c>
      <c r="C68" s="293">
        <f ca="1">ROUND(C67*(1-((1+F70)/(1+F68))^F69)/(F68-F70),0)</f>
        <v>-1564272</v>
      </c>
      <c r="D68" s="911" t="s">
        <v>758</v>
      </c>
      <c r="E68" s="896" t="s">
        <v>759</v>
      </c>
      <c r="F68" s="304">
        <f ca="1">F40</f>
        <v>5.5E-2</v>
      </c>
      <c r="O68" s="1334" t="s">
        <v>406</v>
      </c>
      <c r="P68" s="1371" t="s">
        <v>871</v>
      </c>
      <c r="Q68" s="1327">
        <f ca="1">ROUND(Q69-Q70*Q71,0)</f>
        <v>-218721</v>
      </c>
      <c r="R68" s="1327" t="s">
        <v>414</v>
      </c>
    </row>
    <row r="69" spans="1:18" s="1292" customFormat="1" ht="13.5" thickBot="1">
      <c r="A69" s="897"/>
      <c r="B69" s="898"/>
      <c r="C69" s="298"/>
      <c r="D69" s="916" t="s">
        <v>762</v>
      </c>
      <c r="E69" s="896" t="s">
        <v>763</v>
      </c>
      <c r="F69" s="324">
        <f ca="1">F41</f>
        <v>41.11</v>
      </c>
      <c r="O69" s="1334" t="s">
        <v>411</v>
      </c>
      <c r="P69" s="1371" t="s">
        <v>872</v>
      </c>
      <c r="Q69" s="1327">
        <f ca="1">C39</f>
        <v>420317</v>
      </c>
      <c r="R69" s="1327" t="s">
        <v>818</v>
      </c>
    </row>
    <row r="70" spans="1:18" s="1292" customFormat="1" ht="13.5" thickBot="1">
      <c r="A70" s="900"/>
      <c r="B70" s="901"/>
      <c r="C70" s="302"/>
      <c r="D70" s="912"/>
      <c r="E70" s="896" t="s">
        <v>766</v>
      </c>
      <c r="F70" s="991"/>
      <c r="O70" s="1334" t="s">
        <v>412</v>
      </c>
      <c r="P70" s="1371" t="s">
        <v>873</v>
      </c>
      <c r="Q70" s="1327">
        <f ca="1">C13</f>
        <v>7987981</v>
      </c>
      <c r="R70" s="1327" t="s">
        <v>818</v>
      </c>
    </row>
    <row r="71" spans="1:18" s="1292" customFormat="1" ht="13.5" thickBot="1">
      <c r="A71" s="917" t="s">
        <v>396</v>
      </c>
      <c r="B71" s="918" t="s">
        <v>776</v>
      </c>
      <c r="C71" s="327">
        <f ca="1">ROUND(C68/F71,0)</f>
        <v>-983</v>
      </c>
      <c r="D71" s="919" t="s">
        <v>777</v>
      </c>
      <c r="E71" s="920" t="s">
        <v>778</v>
      </c>
      <c r="F71" s="330">
        <f ca="1">F43</f>
        <v>1590.73</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639038</v>
      </c>
      <c r="D75" s="1292"/>
      <c r="E75" s="1292"/>
      <c r="F75" s="1292"/>
      <c r="K75" s="1309"/>
      <c r="L75" s="1292"/>
      <c r="O75" s="1325" t="s">
        <v>409</v>
      </c>
      <c r="P75" s="1326" t="s">
        <v>838</v>
      </c>
      <c r="Q75" s="1327">
        <f ca="1">Q65+Q66</f>
        <v>9730947</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-0.52</v>
      </c>
    </row>
    <row r="80" spans="1:18">
      <c r="B80" s="331" t="s">
        <v>800</v>
      </c>
      <c r="C80" s="266">
        <f ca="1">ROUND(C75/C39,3)</f>
        <v>1.52</v>
      </c>
    </row>
    <row r="81" spans="2:3">
      <c r="B81" s="262" t="s">
        <v>801</v>
      </c>
      <c r="C81" s="230"/>
    </row>
    <row r="82" spans="2:3">
      <c r="B82" s="265" t="s">
        <v>802</v>
      </c>
      <c r="C82" s="267">
        <f ca="1">1-C83</f>
        <v>0.17900000000000005</v>
      </c>
    </row>
    <row r="83" spans="2:3">
      <c r="B83" s="265" t="s">
        <v>803</v>
      </c>
      <c r="C83" s="266">
        <f ca="1">ROUND(C13/C40,3)</f>
        <v>0.82099999999999995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xr:uid="{00000000-0002-0000-1300-000000000000}">
      <formula1>"比较法,基准地价,收益还原"</formula1>
    </dataValidation>
    <dataValidation type="list" allowBlank="1" showInputMessage="1" showErrorMessage="1" sqref="J56" xr:uid="{00000000-0002-0000-1300-000001000000}">
      <formula1>估价范围判定</formula1>
    </dataValidation>
    <dataValidation type="list" allowBlank="1" showInputMessage="1" showErrorMessage="1" sqref="J48" xr:uid="{00000000-0002-0000-1300-000002000000}">
      <formula1>"非生产用房,生产用房,受腐蚀的生产用房"</formula1>
    </dataValidation>
    <dataValidation type="list" allowBlank="1" showInputMessage="1" showErrorMessage="1" sqref="J47" xr:uid="{00000000-0002-0000-1300-000003000000}">
      <formula1>"钢,钢混,砖混"</formula1>
    </dataValidation>
    <dataValidation type="list" allowBlank="1" showInputMessage="1" showErrorMessage="1" sqref="C1" xr:uid="{00000000-0002-0000-1300-000004000000}">
      <formula1>项目类型</formula1>
    </dataValidation>
    <dataValidation type="list" allowBlank="1" showInputMessage="1" showErrorMessage="1" sqref="D33 D61" xr:uid="{00000000-0002-0000-1300-000005000000}">
      <formula1>"按租金收入计税,按房产原值计税,按票据"</formula1>
    </dataValidation>
    <dataValidation type="list" allowBlank="1" showInputMessage="1" showErrorMessage="1" sqref="K19" xr:uid="{00000000-0002-0000-1300-000006000000}">
      <formula1>"按租金收入计税,按房产原值计税"</formula1>
    </dataValidation>
    <dataValidation type="list" allowBlank="1" showInputMessage="1" showErrorMessage="1" sqref="F10 F53 M10"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169889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1067994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127258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127258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1590.73</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32</v>
      </c>
      <c r="D19" s="204">
        <f ca="1">D9+D10</f>
        <v>1590.73</v>
      </c>
      <c r="E19" s="203">
        <f>'数据-取费表'!B31</f>
        <v>200</v>
      </c>
      <c r="F19" s="223"/>
      <c r="G19" s="1714"/>
    </row>
    <row r="20" spans="1:7" s="206" customFormat="1" ht="13.5" customHeight="1">
      <c r="A20" s="247" t="s">
        <v>1493</v>
      </c>
      <c r="B20" s="202" t="s">
        <v>1494</v>
      </c>
      <c r="C20" s="224">
        <f ca="1">ROUND((C5+C19)*F20,0)</f>
        <v>2546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10891</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10782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106</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15580</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ROUND((C5+C19+C20)*F27*'数据-取费表'!B21/'数据-取费表'!B20,0)</f>
        <v>15580</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169090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620</v>
      </c>
      <c r="D34" s="209"/>
      <c r="E34" s="212"/>
      <c r="F34" s="249">
        <f ca="1">IF('数据-取费表'!B24=0,1,IF(B1="",'数据-取费表'!N16,INDIRECT("'数据-取费表'!n"&amp;$G$1)))</f>
        <v>1</v>
      </c>
      <c r="G34" s="211" t="s">
        <v>1526</v>
      </c>
    </row>
    <row r="35" spans="1:7" ht="13.5" customHeight="1">
      <c r="A35" s="734" t="s">
        <v>351</v>
      </c>
      <c r="B35" s="207" t="s">
        <v>1527</v>
      </c>
      <c r="C35" s="212">
        <f ca="1">ROUND(C34*F35,0)</f>
        <v>31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v>
      </c>
      <c r="D37" s="209">
        <f ca="1">D19</f>
        <v>1590.73</v>
      </c>
      <c r="E37" s="241">
        <f>'数据-取费表'!B35</f>
        <v>200</v>
      </c>
      <c r="F37" s="251"/>
      <c r="G37" s="253" t="s">
        <v>1532</v>
      </c>
    </row>
    <row r="38" spans="1:7" ht="13.5" customHeight="1">
      <c r="A38" s="734" t="s">
        <v>354</v>
      </c>
      <c r="B38" s="207" t="s">
        <v>1533</v>
      </c>
      <c r="C38" s="212">
        <f ca="1">ROUND(C34*F38,0)</f>
        <v>9</v>
      </c>
      <c r="D38" s="212"/>
      <c r="E38" s="212"/>
      <c r="F38" s="251">
        <f>'数据-取费表'!B36</f>
        <v>1.4999999999999999E-2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29</v>
      </c>
      <c r="D42" s="230"/>
      <c r="E42" s="230"/>
      <c r="F42" s="231"/>
      <c r="G42" s="3344" t="s">
        <v>1544</v>
      </c>
    </row>
    <row r="43" spans="1:7" ht="13.5" customHeight="1">
      <c r="A43" s="734" t="s">
        <v>347</v>
      </c>
      <c r="B43" s="207" t="s">
        <v>1545</v>
      </c>
      <c r="C43" s="230">
        <f ca="1">ROUND(IF('数据-取费表'!B22&lt;=1,C39*F22*'数据-取费表'!B21/2,C39*(POWER((1+F22),'数据-取费表'!B21/2)-1)),0)</f>
        <v>1</v>
      </c>
      <c r="D43" s="230"/>
      <c r="E43" s="230"/>
      <c r="F43" s="231"/>
      <c r="G43" s="3345"/>
    </row>
    <row r="44" spans="1:7" ht="13.5" customHeight="1">
      <c r="A44" s="734" t="s">
        <v>348</v>
      </c>
      <c r="B44" s="207" t="s">
        <v>1546</v>
      </c>
      <c r="C44" s="230">
        <f ca="1">ROUND(IF('数据-取费表'!B22&lt;=1,C40*F22*'数据-取费表'!B21/2,C40*(POWER((1+F22),'数据-取费表'!B21/2)-1)),4)</f>
        <v>8.0000000000000004E-4</v>
      </c>
      <c r="D44" s="230"/>
      <c r="E44" s="230"/>
      <c r="F44" s="231"/>
      <c r="G44" s="3346"/>
    </row>
    <row r="45" spans="1:7" s="206" customFormat="1" ht="13.5" customHeight="1">
      <c r="A45" s="247" t="s">
        <v>1547</v>
      </c>
      <c r="B45" s="236" t="s">
        <v>1513</v>
      </c>
      <c r="C45" s="237">
        <f ca="1">C46</f>
        <v>85</v>
      </c>
      <c r="D45" s="227">
        <f ca="1">C47</f>
        <v>2.3999999999999998E-3</v>
      </c>
      <c r="E45" s="228" t="s">
        <v>1539</v>
      </c>
      <c r="F45" s="238">
        <f ca="1">F27</f>
        <v>0.12</v>
      </c>
      <c r="G45" s="239" t="s">
        <v>1548</v>
      </c>
    </row>
    <row r="46" spans="1:7" s="206" customFormat="1" ht="13.5" customHeight="1">
      <c r="A46" s="734" t="s">
        <v>346</v>
      </c>
      <c r="B46" s="240" t="s">
        <v>1549</v>
      </c>
      <c r="C46" s="241">
        <f ca="1">ROUND((C33+C39)*F27,0)</f>
        <v>85</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888</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799</v>
      </c>
      <c r="D51" s="224"/>
      <c r="E51" s="224"/>
      <c r="F51" s="256"/>
      <c r="G51" s="226" t="s">
        <v>1560</v>
      </c>
    </row>
    <row r="52" spans="1:7" s="200" customFormat="1" ht="16.5" thickBot="1">
      <c r="A52" s="257" t="s">
        <v>1561</v>
      </c>
      <c r="B52" s="258"/>
      <c r="C52" s="259">
        <f ca="1">C31+C51</f>
        <v>169889</v>
      </c>
      <c r="D52" s="258"/>
      <c r="E52" s="258"/>
      <c r="F52" s="258"/>
      <c r="G52" s="260"/>
    </row>
    <row r="55" spans="1:7" ht="15">
      <c r="B55" s="262" t="s">
        <v>1562</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141268</v>
      </c>
      <c r="C2" s="268" t="s">
        <v>1595</v>
      </c>
      <c r="D2" s="268"/>
      <c r="E2" s="2565"/>
      <c r="F2" s="2565"/>
      <c r="G2" s="2565"/>
      <c r="H2" s="2565"/>
      <c r="I2" s="2565"/>
      <c r="J2" s="2565"/>
      <c r="K2" s="2565"/>
    </row>
    <row r="3" spans="1:33" ht="18" customHeight="1" thickBot="1">
      <c r="A3" s="195" t="s">
        <v>1464</v>
      </c>
      <c r="B3" s="196">
        <f ca="1">ROUND(B2*10000/IF(C1="",'数据-汇总表'!E3,INDIRECT("'数据-取费表'!K"&amp;$K$1)),0)</f>
        <v>888070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1590.73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1590.73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-127245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1590.73</v>
      </c>
      <c r="E20" s="21">
        <f>'数据-取费表'!B28</f>
        <v>80</v>
      </c>
      <c r="F20" s="756"/>
      <c r="G20" s="12"/>
      <c r="H20" s="761"/>
      <c r="I20" s="761"/>
      <c r="J20" s="761"/>
      <c r="K20" s="762"/>
    </row>
    <row r="21" spans="1:33" s="755" customFormat="1" ht="13.5" customHeight="1">
      <c r="A21" s="744" t="s">
        <v>357</v>
      </c>
      <c r="B21" s="765" t="s">
        <v>1628</v>
      </c>
      <c r="C21" s="766">
        <f ca="1">C16+C17+C18</f>
        <v>-127245</v>
      </c>
      <c r="D21" s="767"/>
      <c r="E21" s="273"/>
      <c r="F21" s="273"/>
      <c r="G21" s="123" t="s">
        <v>1629</v>
      </c>
      <c r="H21" s="759"/>
      <c r="I21" s="759"/>
      <c r="J21" s="759"/>
      <c r="K21" s="760"/>
    </row>
    <row r="22" spans="1:33" s="755" customFormat="1" ht="13.5" customHeight="1">
      <c r="A22" s="744" t="s">
        <v>1601</v>
      </c>
      <c r="B22" s="765" t="s">
        <v>1630</v>
      </c>
      <c r="C22" s="766">
        <f ca="1">ROUND(C21*F22,0)</f>
        <v>-2545</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-15575</v>
      </c>
      <c r="D28" s="272">
        <f ca="1">C29</f>
        <v>0</v>
      </c>
      <c r="E28" s="274" t="s">
        <v>12</v>
      </c>
      <c r="F28" s="280">
        <f ca="1">IF(C1="",'数据-取费表'!Q16,INDIRECT("'数据-取费表'!q"&amp;$K$1))</f>
        <v>0.12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-15575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141268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2108</v>
      </c>
      <c r="E6" s="294" t="s">
        <v>696</v>
      </c>
      <c r="F6" s="295">
        <f ca="1">INDIRECT("'数据-取费表'!u"&amp;$G$1)</f>
        <v>0</v>
      </c>
      <c r="G6" s="1292"/>
      <c r="H6" s="1006" t="s">
        <v>398</v>
      </c>
      <c r="I6" s="3347" t="s">
        <v>694</v>
      </c>
      <c r="J6" s="293">
        <f ca="1">ROUND(M6*M8*M7*(1-M9)/10000,0)</f>
        <v>0</v>
      </c>
      <c r="K6" s="147"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2298</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3" t="s">
        <v>2306</v>
      </c>
      <c r="B2" s="2592" t="e">
        <f>IF(D2="——",C40,C40+E2)</f>
        <v>#DIV/0!</v>
      </c>
      <c r="C2" s="2593" t="s">
        <v>2307</v>
      </c>
      <c r="D2" s="3136" t="s">
        <v>3354</v>
      </c>
      <c r="E2" s="3137"/>
      <c r="F2" s="2595"/>
      <c r="G2" s="2596"/>
      <c r="H2" s="2597"/>
      <c r="I2" s="2598"/>
      <c r="J2" s="3352" t="s">
        <v>2308</v>
      </c>
      <c r="K2" s="3353"/>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354" t="s">
        <v>2318</v>
      </c>
      <c r="K3" s="3355"/>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354" t="s">
        <v>2320</v>
      </c>
      <c r="K4" s="3355"/>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356" t="s">
        <v>2324</v>
      </c>
      <c r="B6" s="3357"/>
      <c r="C6" s="3358"/>
      <c r="D6" s="2619"/>
      <c r="E6" s="2620"/>
      <c r="F6" s="2621"/>
      <c r="G6" s="2622"/>
      <c r="H6" s="2597"/>
      <c r="I6" s="2598"/>
      <c r="J6" s="3359">
        <v>1</v>
      </c>
      <c r="K6" s="3360"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359"/>
      <c r="K7" s="3361"/>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363" t="s">
        <v>2338</v>
      </c>
      <c r="C8" s="3364"/>
      <c r="D8" s="2638" t="s">
        <v>2339</v>
      </c>
      <c r="E8" s="2639" t="s">
        <v>2340</v>
      </c>
      <c r="F8" s="2640" t="s">
        <v>2341</v>
      </c>
      <c r="G8" s="2641"/>
      <c r="H8" s="2597"/>
      <c r="I8" s="2598"/>
      <c r="J8" s="3359"/>
      <c r="K8" s="3361"/>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363" t="s">
        <v>2344</v>
      </c>
      <c r="C9" s="3364"/>
      <c r="D9" s="2638">
        <f>ROUND(D6*E9,0)</f>
        <v>0</v>
      </c>
      <c r="E9" s="2642"/>
      <c r="F9" s="2643" t="s">
        <v>2345</v>
      </c>
      <c r="G9" s="2622"/>
      <c r="H9" s="2597"/>
      <c r="I9" s="2598"/>
      <c r="J9" s="3359"/>
      <c r="K9" s="3361"/>
      <c r="L9" s="2632" t="s">
        <v>2346</v>
      </c>
      <c r="M9" s="2633"/>
      <c r="N9" s="2609"/>
      <c r="O9" s="2634"/>
      <c r="P9" s="2634"/>
      <c r="Q9" s="2635">
        <v>365</v>
      </c>
      <c r="R9" s="2636">
        <f t="shared" si="0"/>
        <v>0</v>
      </c>
      <c r="S9" s="2590"/>
      <c r="T9" s="2590"/>
      <c r="U9" s="2590"/>
      <c r="V9" s="2598"/>
    </row>
    <row r="10" spans="1:22" s="2602" customFormat="1" ht="13.15" customHeight="1">
      <c r="A10" s="2637">
        <v>2</v>
      </c>
      <c r="B10" s="3363" t="s">
        <v>2347</v>
      </c>
      <c r="C10" s="3364"/>
      <c r="D10" s="2638">
        <f>ROUND(D6*E10,0)</f>
        <v>0</v>
      </c>
      <c r="E10" s="2642"/>
      <c r="F10" s="2643" t="s">
        <v>2348</v>
      </c>
      <c r="G10" s="2622"/>
      <c r="H10" s="2597"/>
      <c r="I10" s="2598"/>
      <c r="J10" s="3359"/>
      <c r="K10" s="3361"/>
      <c r="L10" s="2632" t="s">
        <v>2349</v>
      </c>
      <c r="M10" s="2633"/>
      <c r="N10" s="2609"/>
      <c r="O10" s="2634"/>
      <c r="P10" s="2634"/>
      <c r="Q10" s="2635">
        <v>365</v>
      </c>
      <c r="R10" s="2636">
        <f t="shared" si="0"/>
        <v>0</v>
      </c>
      <c r="S10" s="2590"/>
      <c r="T10" s="2590"/>
      <c r="U10" s="2590"/>
      <c r="V10" s="2598"/>
    </row>
    <row r="11" spans="1:22" s="2602" customFormat="1" ht="13.15" customHeight="1">
      <c r="A11" s="2637">
        <v>3</v>
      </c>
      <c r="B11" s="3363" t="s">
        <v>2350</v>
      </c>
      <c r="C11" s="3364"/>
      <c r="D11" s="2638">
        <f>D12+D14+D15+D16</f>
        <v>0</v>
      </c>
      <c r="E11" s="2644" t="e">
        <f>D11/D6</f>
        <v>#DIV/0!</v>
      </c>
      <c r="F11" s="2640"/>
      <c r="G11" s="2641"/>
      <c r="H11" s="2597"/>
      <c r="I11" s="2598"/>
      <c r="J11" s="3359"/>
      <c r="K11" s="3361"/>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365" t="s">
        <v>2353</v>
      </c>
      <c r="C12" s="3366"/>
      <c r="D12" s="2646">
        <f>ROUND(D13*1.2%*(1-30%),0)</f>
        <v>0</v>
      </c>
      <c r="E12" s="2647">
        <v>1.2E-2</v>
      </c>
      <c r="F12" s="2640" t="s">
        <v>2354</v>
      </c>
      <c r="G12" s="2641"/>
      <c r="H12" s="2597"/>
      <c r="I12" s="2598"/>
      <c r="J12" s="3359"/>
      <c r="K12" s="3361"/>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359"/>
      <c r="K13" s="3361"/>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365" t="s">
        <v>2359</v>
      </c>
      <c r="C14" s="3366"/>
      <c r="D14" s="2646">
        <f>ROUND(E14*B5/10000,0)</f>
        <v>0</v>
      </c>
      <c r="E14" s="2635"/>
      <c r="F14" s="2640" t="s">
        <v>2360</v>
      </c>
      <c r="G14" s="2641"/>
      <c r="H14" s="2597"/>
      <c r="I14" s="2598"/>
      <c r="J14" s="3359"/>
      <c r="K14" s="3362"/>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365" t="s">
        <v>2363</v>
      </c>
      <c r="C15" s="3366"/>
      <c r="D15" s="2646">
        <f>ROUND(D6*E15,0)</f>
        <v>0</v>
      </c>
      <c r="E15" s="2647">
        <v>5.5E-2</v>
      </c>
      <c r="F15" s="2640" t="s">
        <v>2364</v>
      </c>
      <c r="G15" s="2622"/>
      <c r="H15" s="2597"/>
      <c r="I15" s="2598"/>
      <c r="J15" s="3359">
        <v>2</v>
      </c>
      <c r="K15" s="3360"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365" t="s">
        <v>2372</v>
      </c>
      <c r="C16" s="3366"/>
      <c r="D16" s="2657">
        <f>D6*E16</f>
        <v>0</v>
      </c>
      <c r="E16" s="2658"/>
      <c r="F16" s="2643" t="s">
        <v>2373</v>
      </c>
      <c r="G16" s="2622"/>
      <c r="H16" s="2597"/>
      <c r="I16" s="2598"/>
      <c r="J16" s="3359"/>
      <c r="K16" s="3361"/>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367" t="s">
        <v>2375</v>
      </c>
      <c r="C17" s="3368"/>
      <c r="D17" s="2660">
        <f>ROUND(D6*E17,0)</f>
        <v>0</v>
      </c>
      <c r="E17" s="2661"/>
      <c r="F17" s="2662" t="s">
        <v>2376</v>
      </c>
      <c r="G17" s="2622"/>
      <c r="H17" s="2597"/>
      <c r="I17" s="2598"/>
      <c r="J17" s="3359"/>
      <c r="K17" s="3361"/>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359"/>
      <c r="K18" s="3361"/>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359"/>
      <c r="K19" s="3362"/>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9">
        <v>3</v>
      </c>
      <c r="K20" s="3360"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359"/>
      <c r="K21" s="3361"/>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359"/>
      <c r="K22" s="3361"/>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359"/>
      <c r="K23" s="3361"/>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359"/>
      <c r="K24" s="3362"/>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369">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370"/>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352" t="s">
        <v>2308</v>
      </c>
      <c r="K32" s="3353"/>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354" t="s">
        <v>2318</v>
      </c>
      <c r="K33" s="3355"/>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354" t="s">
        <v>2320</v>
      </c>
      <c r="K34" s="335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359">
        <v>1</v>
      </c>
      <c r="K36" s="3360"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359"/>
      <c r="K37" s="3361"/>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9"/>
      <c r="K38" s="3361"/>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359"/>
      <c r="K39" s="3361"/>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359"/>
      <c r="K40" s="3362"/>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9">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370"/>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991.25210000000004</v>
      </c>
      <c r="C2" s="1729" t="s">
        <v>1651</v>
      </c>
      <c r="D2" s="1730" t="s">
        <v>1652</v>
      </c>
      <c r="E2" s="2391">
        <f>SUM(E6:E13)</f>
        <v>1590.73</v>
      </c>
      <c r="F2" s="2477"/>
      <c r="G2" s="459"/>
      <c r="H2" s="459"/>
      <c r="I2" s="459"/>
      <c r="J2" s="459"/>
      <c r="K2" s="459"/>
      <c r="L2" s="459"/>
      <c r="M2" s="459"/>
      <c r="N2" s="459"/>
      <c r="O2" s="459"/>
      <c r="P2" s="459"/>
      <c r="Q2" s="459"/>
      <c r="R2" s="459"/>
      <c r="S2" s="459"/>
    </row>
    <row r="3" spans="1:22" ht="15.75">
      <c r="A3" s="1728" t="s">
        <v>686</v>
      </c>
      <c r="B3" s="2385">
        <f ca="1">ROUND(B2*10000/E2,0)</f>
        <v>6231</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71" t="s">
        <v>1654</v>
      </c>
      <c r="C5" s="3372"/>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991.25210000000004</v>
      </c>
      <c r="C6" s="1729" t="s">
        <v>1651</v>
      </c>
      <c r="D6" s="2477"/>
      <c r="E6" s="2390">
        <f>IF(OR(A6=0,F6="否"),0,'数据-取费表'!K6+'数据-取费表'!S6)</f>
        <v>1590.73</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1590.73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4"/>
      <c r="M4" s="2485"/>
      <c r="N4" s="2485"/>
      <c r="O4" s="2485"/>
      <c r="P4" s="3395" t="s">
        <v>1672</v>
      </c>
      <c r="Q4" s="3396"/>
      <c r="R4" s="3378" t="s">
        <v>1668</v>
      </c>
      <c r="S4" s="3379"/>
      <c r="T4" s="3378" t="s">
        <v>1669</v>
      </c>
      <c r="U4" s="3379"/>
      <c r="V4" s="3403" t="s">
        <v>1670</v>
      </c>
      <c r="W4" s="3403"/>
      <c r="X4" s="1265"/>
      <c r="Y4" s="3378" t="s">
        <v>1672</v>
      </c>
      <c r="Z4" s="3379"/>
      <c r="AA4" s="3373" t="s">
        <v>1668</v>
      </c>
      <c r="AB4" s="3373" t="s">
        <v>1669</v>
      </c>
      <c r="AC4" s="3373" t="s">
        <v>1670</v>
      </c>
    </row>
    <row r="5" spans="1:29" ht="15">
      <c r="A5" s="348"/>
      <c r="B5" s="349"/>
      <c r="C5" s="3384" t="s">
        <v>1673</v>
      </c>
      <c r="D5" s="3385"/>
      <c r="E5" s="3382" t="s">
        <v>1674</v>
      </c>
      <c r="F5" s="3383"/>
      <c r="G5" s="3384" t="s">
        <v>1675</v>
      </c>
      <c r="H5" s="3385"/>
      <c r="I5" s="3384" t="s">
        <v>1676</v>
      </c>
      <c r="J5" s="3385"/>
      <c r="K5" s="1745"/>
      <c r="L5" s="2484"/>
      <c r="M5" s="2485"/>
      <c r="N5" s="2485"/>
      <c r="O5" s="2485"/>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1745" t="s">
        <v>1678</v>
      </c>
      <c r="L6" s="2484"/>
      <c r="M6" s="2485"/>
      <c r="N6" s="2485"/>
      <c r="O6" s="2485"/>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6" t="s">
        <v>1680</v>
      </c>
      <c r="Q7" s="3404"/>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0"/>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0"/>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0"/>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0"/>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7"/>
      <c r="Q16" s="1263"/>
      <c r="R16" s="667"/>
      <c r="S16" s="668"/>
      <c r="T16" s="667"/>
      <c r="U16" s="668"/>
      <c r="V16" s="667"/>
      <c r="W16" s="668"/>
      <c r="X16" s="1265"/>
      <c r="Y16" s="341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7"/>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7"/>
      <c r="Q18" s="1263"/>
      <c r="R18" s="667"/>
      <c r="S18" s="668"/>
      <c r="T18" s="667"/>
      <c r="U18" s="668"/>
      <c r="V18" s="667"/>
      <c r="W18" s="668"/>
      <c r="X18" s="1265"/>
      <c r="Y18" s="341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7"/>
      <c r="Q20" s="1263"/>
      <c r="R20" s="667"/>
      <c r="S20" s="668"/>
      <c r="T20" s="667"/>
      <c r="U20" s="668"/>
      <c r="V20" s="667"/>
      <c r="W20" s="668"/>
      <c r="X20" s="1265"/>
      <c r="Y20" s="341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7"/>
      <c r="Q22" s="1263"/>
      <c r="R22" s="667"/>
      <c r="S22" s="668"/>
      <c r="T22" s="667"/>
      <c r="U22" s="668"/>
      <c r="V22" s="667"/>
      <c r="W22" s="668"/>
      <c r="X22" s="1265"/>
      <c r="Y22" s="341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7"/>
      <c r="Q26" s="1263" t="str">
        <f t="shared" si="11"/>
        <v>朝向</v>
      </c>
      <c r="R26" s="667" t="s">
        <v>18</v>
      </c>
      <c r="S26" s="668">
        <f t="shared" si="12"/>
        <v>100</v>
      </c>
      <c r="T26" s="667" t="s">
        <v>18</v>
      </c>
      <c r="U26" s="668">
        <f t="shared" si="13"/>
        <v>100</v>
      </c>
      <c r="V26" s="667" t="s">
        <v>18</v>
      </c>
      <c r="W26" s="668">
        <f t="shared" si="14"/>
        <v>100</v>
      </c>
      <c r="X26" s="1265"/>
      <c r="Y26" s="341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7"/>
      <c r="Q27" s="530">
        <f t="shared" si="11"/>
        <v>111</v>
      </c>
      <c r="R27" s="664" t="s">
        <v>18</v>
      </c>
      <c r="S27" s="665">
        <f t="shared" si="12"/>
        <v>100</v>
      </c>
      <c r="T27" s="664" t="s">
        <v>18</v>
      </c>
      <c r="U27" s="665">
        <f t="shared" si="13"/>
        <v>100</v>
      </c>
      <c r="V27" s="664" t="s">
        <v>18</v>
      </c>
      <c r="W27" s="665">
        <f t="shared" si="14"/>
        <v>100</v>
      </c>
      <c r="X27" s="666"/>
      <c r="Y27" s="341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1"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2"/>
      <c r="Q33" s="531" t="str">
        <f t="shared" si="11"/>
        <v>项目建筑规模</v>
      </c>
      <c r="R33" s="669" t="s">
        <v>18</v>
      </c>
      <c r="S33" s="670" t="e">
        <f t="shared" si="12"/>
        <v>#N/A</v>
      </c>
      <c r="T33" s="669" t="s">
        <v>18</v>
      </c>
      <c r="U33" s="670" t="e">
        <f t="shared" si="13"/>
        <v>#N/A</v>
      </c>
      <c r="V33" s="669" t="s">
        <v>18</v>
      </c>
      <c r="W33" s="670" t="e">
        <f t="shared" si="14"/>
        <v>#N/A</v>
      </c>
      <c r="X33" s="671"/>
      <c r="Y33" s="341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2"/>
      <c r="Q37" s="530" t="str">
        <f t="shared" si="11"/>
        <v>成新度</v>
      </c>
      <c r="R37" s="664" t="s">
        <v>18</v>
      </c>
      <c r="S37" s="665" t="e">
        <f t="shared" si="12"/>
        <v>#N/A</v>
      </c>
      <c r="T37" s="664" t="s">
        <v>18</v>
      </c>
      <c r="U37" s="665" t="e">
        <f t="shared" si="13"/>
        <v>#N/A</v>
      </c>
      <c r="V37" s="664" t="s">
        <v>18</v>
      </c>
      <c r="W37" s="665" t="e">
        <f t="shared" si="14"/>
        <v>#N/A</v>
      </c>
      <c r="X37" s="666"/>
      <c r="Y37" s="341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2"/>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1590.73</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378" t="s">
        <v>1771</v>
      </c>
      <c r="S4" s="3379"/>
      <c r="T4" s="3378" t="s">
        <v>1772</v>
      </c>
      <c r="U4" s="3379"/>
      <c r="V4" s="3403" t="s">
        <v>1773</v>
      </c>
      <c r="W4" s="3403"/>
      <c r="X4" s="1265"/>
      <c r="Y4" s="3378" t="s">
        <v>1775</v>
      </c>
      <c r="Z4" s="3379"/>
      <c r="AA4" s="3373" t="s">
        <v>1771</v>
      </c>
      <c r="AB4" s="3403" t="s">
        <v>1772</v>
      </c>
      <c r="AC4" s="3373" t="s">
        <v>1773</v>
      </c>
    </row>
    <row r="5" spans="1:29" ht="15">
      <c r="A5" s="348"/>
      <c r="B5" s="349"/>
      <c r="C5" s="3384" t="s">
        <v>1673</v>
      </c>
      <c r="D5" s="3385"/>
      <c r="E5" s="3382" t="s">
        <v>1674</v>
      </c>
      <c r="F5" s="3383"/>
      <c r="G5" s="3384" t="s">
        <v>1675</v>
      </c>
      <c r="H5" s="3385"/>
      <c r="I5" s="3384" t="s">
        <v>1676</v>
      </c>
      <c r="J5" s="3385"/>
      <c r="K5" s="537"/>
      <c r="L5" s="2484"/>
      <c r="M5" s="2485"/>
      <c r="N5" s="2485"/>
      <c r="O5" s="2485"/>
      <c r="P5" s="3397"/>
      <c r="Q5" s="3398"/>
      <c r="R5" s="3380"/>
      <c r="S5" s="3381"/>
      <c r="T5" s="3380"/>
      <c r="U5" s="3381"/>
      <c r="V5" s="3403"/>
      <c r="W5" s="3403"/>
      <c r="X5" s="1265"/>
      <c r="Y5" s="3380"/>
      <c r="Z5" s="3381"/>
      <c r="AA5" s="3374"/>
      <c r="AB5" s="3403"/>
      <c r="AC5" s="3374"/>
    </row>
    <row r="6" spans="1:29" ht="15.75" thickBot="1">
      <c r="A6" s="350"/>
      <c r="B6" s="351"/>
      <c r="C6" s="3386" t="s">
        <v>1677</v>
      </c>
      <c r="D6" s="3387"/>
      <c r="E6" s="3388" t="s">
        <v>1677</v>
      </c>
      <c r="F6" s="3389"/>
      <c r="G6" s="3386" t="s">
        <v>1677</v>
      </c>
      <c r="H6" s="3387"/>
      <c r="I6" s="3386" t="s">
        <v>1677</v>
      </c>
      <c r="J6" s="3387"/>
      <c r="K6" s="537" t="s">
        <v>1678</v>
      </c>
      <c r="L6" s="2484"/>
      <c r="M6" s="2485"/>
      <c r="N6" s="2485"/>
      <c r="O6" s="2485"/>
      <c r="P6" s="3399"/>
      <c r="Q6" s="3400"/>
      <c r="R6" s="3380"/>
      <c r="S6" s="3381"/>
      <c r="T6" s="3401"/>
      <c r="U6" s="3402"/>
      <c r="V6" s="3403"/>
      <c r="W6" s="3403"/>
      <c r="X6" s="1265"/>
      <c r="Y6" s="3401"/>
      <c r="Z6" s="3402"/>
      <c r="AA6" s="3375"/>
      <c r="AB6" s="3403"/>
      <c r="AC6" s="3375"/>
    </row>
    <row r="7" spans="1:29" s="102" customFormat="1" ht="15.75" thickBot="1">
      <c r="A7" s="352" t="s">
        <v>1679</v>
      </c>
      <c r="B7" s="353"/>
      <c r="C7" s="354">
        <f>'数据-取费表'!B2</f>
        <v>45009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0"/>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7"/>
      <c r="Q16" s="1263"/>
      <c r="R16" s="667"/>
      <c r="S16" s="668"/>
      <c r="T16" s="667"/>
      <c r="U16" s="668"/>
      <c r="V16" s="667"/>
      <c r="W16" s="668"/>
      <c r="X16" s="1265"/>
      <c r="Y16" s="341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7"/>
      <c r="Q18" s="1263"/>
      <c r="R18" s="667"/>
      <c r="S18" s="668"/>
      <c r="T18" s="667"/>
      <c r="U18" s="668"/>
      <c r="V18" s="667"/>
      <c r="W18" s="668"/>
      <c r="X18" s="1265"/>
      <c r="Y18" s="341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7"/>
      <c r="Q20" s="1263"/>
      <c r="R20" s="667"/>
      <c r="S20" s="668"/>
      <c r="T20" s="667"/>
      <c r="U20" s="668"/>
      <c r="V20" s="667"/>
      <c r="W20" s="668"/>
      <c r="X20" s="1265"/>
      <c r="Y20" s="341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7"/>
      <c r="Q22" s="1263"/>
      <c r="R22" s="667"/>
      <c r="S22" s="668"/>
      <c r="T22" s="667"/>
      <c r="U22" s="668"/>
      <c r="V22" s="667"/>
      <c r="W22" s="668"/>
      <c r="X22" s="1265"/>
      <c r="Y22" s="341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1590.73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424" t="s">
        <v>1775</v>
      </c>
      <c r="Q4" s="3425"/>
      <c r="R4" s="3419" t="s">
        <v>1771</v>
      </c>
      <c r="S4" s="3420"/>
      <c r="T4" s="3419" t="s">
        <v>1772</v>
      </c>
      <c r="U4" s="3420"/>
      <c r="V4" s="3428" t="s">
        <v>1773</v>
      </c>
      <c r="W4" s="3428"/>
      <c r="X4" s="1809"/>
      <c r="Y4" s="3419" t="s">
        <v>1775</v>
      </c>
      <c r="Z4" s="3420"/>
      <c r="AA4" s="3418" t="s">
        <v>1771</v>
      </c>
      <c r="AB4" s="3418" t="s">
        <v>1772</v>
      </c>
      <c r="AC4" s="3421" t="s">
        <v>1773</v>
      </c>
    </row>
    <row r="5" spans="1:29" ht="15">
      <c r="A5" s="348"/>
      <c r="B5" s="349"/>
      <c r="C5" s="3384" t="s">
        <v>1673</v>
      </c>
      <c r="D5" s="3385"/>
      <c r="E5" s="3382" t="s">
        <v>1674</v>
      </c>
      <c r="F5" s="3383"/>
      <c r="G5" s="3384" t="s">
        <v>1675</v>
      </c>
      <c r="H5" s="3385"/>
      <c r="I5" s="3384" t="s">
        <v>1676</v>
      </c>
      <c r="J5" s="3385"/>
      <c r="K5" s="537"/>
      <c r="L5" s="2484"/>
      <c r="M5" s="2485"/>
      <c r="N5" s="2485"/>
      <c r="O5" s="2485"/>
      <c r="P5" s="3426"/>
      <c r="Q5" s="3398"/>
      <c r="R5" s="3380"/>
      <c r="S5" s="3381"/>
      <c r="T5" s="3380"/>
      <c r="U5" s="3381"/>
      <c r="V5" s="3403"/>
      <c r="W5" s="3403"/>
      <c r="X5" s="1265"/>
      <c r="Y5" s="3380"/>
      <c r="Z5" s="3381"/>
      <c r="AA5" s="3374"/>
      <c r="AB5" s="3374"/>
      <c r="AC5" s="3422"/>
    </row>
    <row r="6" spans="1:29" ht="15.75" thickBot="1">
      <c r="A6" s="350"/>
      <c r="B6" s="351"/>
      <c r="C6" s="3386" t="s">
        <v>1677</v>
      </c>
      <c r="D6" s="3387"/>
      <c r="E6" s="3388" t="s">
        <v>1677</v>
      </c>
      <c r="F6" s="3389"/>
      <c r="G6" s="3386" t="s">
        <v>1677</v>
      </c>
      <c r="H6" s="3387"/>
      <c r="I6" s="3386" t="s">
        <v>1677</v>
      </c>
      <c r="J6" s="3387"/>
      <c r="K6" s="537" t="s">
        <v>1678</v>
      </c>
      <c r="L6" s="2484"/>
      <c r="M6" s="2485"/>
      <c r="N6" s="2485"/>
      <c r="O6" s="2485"/>
      <c r="P6" s="3427"/>
      <c r="Q6" s="3400"/>
      <c r="R6" s="3380"/>
      <c r="S6" s="3381"/>
      <c r="T6" s="3401"/>
      <c r="U6" s="3402"/>
      <c r="V6" s="3403"/>
      <c r="W6" s="3403"/>
      <c r="X6" s="1265"/>
      <c r="Y6" s="3401"/>
      <c r="Z6" s="3402"/>
      <c r="AA6" s="3375"/>
      <c r="AB6" s="3375"/>
      <c r="AC6" s="3423"/>
    </row>
    <row r="7" spans="1:29" s="102" customFormat="1" ht="15.75" thickBot="1">
      <c r="A7" s="352" t="s">
        <v>1679</v>
      </c>
      <c r="B7" s="353"/>
      <c r="C7" s="354">
        <f>'数据-取费表'!B2</f>
        <v>45009</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9"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9"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0"/>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7"/>
      <c r="Q16" s="1263"/>
      <c r="R16" s="667"/>
      <c r="S16" s="668"/>
      <c r="T16" s="667"/>
      <c r="U16" s="668"/>
      <c r="V16" s="667"/>
      <c r="W16" s="668"/>
      <c r="X16" s="1265"/>
      <c r="Y16" s="341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7"/>
      <c r="Q18" s="1263"/>
      <c r="R18" s="667"/>
      <c r="S18" s="668"/>
      <c r="T18" s="667"/>
      <c r="U18" s="668"/>
      <c r="V18" s="667"/>
      <c r="W18" s="668"/>
      <c r="X18" s="1265"/>
      <c r="Y18" s="341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7"/>
      <c r="Q20" s="1263"/>
      <c r="R20" s="667"/>
      <c r="S20" s="668"/>
      <c r="T20" s="667"/>
      <c r="U20" s="668"/>
      <c r="V20" s="667"/>
      <c r="W20" s="668"/>
      <c r="X20" s="1265"/>
      <c r="Y20" s="341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7"/>
      <c r="Q22" s="1263"/>
      <c r="R22" s="667"/>
      <c r="S22" s="668"/>
      <c r="T22" s="667"/>
      <c r="U22" s="668"/>
      <c r="V22" s="667"/>
      <c r="W22" s="668"/>
      <c r="X22" s="1265"/>
      <c r="Y22" s="341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7"/>
      <c r="Q24" s="1263"/>
      <c r="R24" s="667"/>
      <c r="S24" s="668"/>
      <c r="T24" s="667"/>
      <c r="U24" s="668"/>
      <c r="V24" s="667"/>
      <c r="W24" s="668"/>
      <c r="X24" s="1265"/>
      <c r="Y24" s="341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7"/>
      <c r="Q26" s="1263"/>
      <c r="R26" s="667"/>
      <c r="S26" s="668"/>
      <c r="T26" s="667"/>
      <c r="U26" s="668"/>
      <c r="V26" s="667"/>
      <c r="W26" s="668"/>
      <c r="X26" s="1265"/>
      <c r="Y26" s="341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7"/>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2"/>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2"/>
      <c r="M49" s="2485"/>
      <c r="N49" s="2485"/>
      <c r="O49" s="2485"/>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1590.73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860"/>
      <c r="M5" s="861"/>
      <c r="N5" s="861"/>
      <c r="O5" s="861"/>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860"/>
      <c r="M6" s="861"/>
      <c r="N6" s="861"/>
      <c r="O6" s="861"/>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1827</v>
      </c>
      <c r="C15" s="1819" t="str">
        <f>估价对象房地状况!G3</f>
        <v>较好</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15">
      <c r="A17" s="367"/>
      <c r="B17" s="390" t="s">
        <v>1259</v>
      </c>
      <c r="C17" s="1754" t="str">
        <f>估价对象房地状况!G4</f>
        <v>一般</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15">
      <c r="A19" s="367"/>
      <c r="B19" s="390" t="s">
        <v>1812</v>
      </c>
      <c r="C19" s="1754"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15">
      <c r="A21" s="367"/>
      <c r="B21" s="586" t="s">
        <v>1813</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15">
      <c r="A23" s="367"/>
      <c r="B23" s="390" t="s">
        <v>1814</v>
      </c>
      <c r="C23" s="1754"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受贵公司委托，我公司对北京市12号楼房地产抵押价值进行了预评估。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估价对象为北京市12号楼房地产，为所有。根据，估价对象（分摊）出让国有建设用地使用权面积为0平方米，建筑面积为1590.73平方米。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估价对象为北京市12号楼房地产,属开发建设的，该项目尚在开发建设中。根据，估价对象（分摊）出让国有建设用地使用权面积为0平方米，规划建筑面积为1590.73平方米。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拟使用北京市12号楼房地产作为抵押担保物，向办理贷款手续。特委托北京康正宏基房地产评估有限公司对上述抵押物进行评估。本次评估为确定房地产抵押贷款额度提供参考依据而评估房地产抵押价值。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4"/>
      <c r="M5" s="2485"/>
      <c r="N5" s="2485"/>
      <c r="O5" s="2485"/>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4"/>
      <c r="M6" s="2485"/>
      <c r="N6" s="2485"/>
      <c r="O6" s="2485"/>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0"/>
      <c r="Q15" s="1263"/>
      <c r="R15" s="667"/>
      <c r="S15" s="668"/>
      <c r="T15" s="667"/>
      <c r="U15" s="668"/>
      <c r="V15" s="667"/>
      <c r="W15" s="668"/>
      <c r="X15" s="1265"/>
      <c r="Y15" s="341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0"/>
      <c r="Q17" s="1263"/>
      <c r="R17" s="667"/>
      <c r="S17" s="668"/>
      <c r="T17" s="667"/>
      <c r="U17" s="668"/>
      <c r="V17" s="667"/>
      <c r="W17" s="668"/>
      <c r="X17" s="1265"/>
      <c r="Y17" s="341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0"/>
      <c r="Q19" s="1263"/>
      <c r="R19" s="667"/>
      <c r="S19" s="668"/>
      <c r="T19" s="667"/>
      <c r="U19" s="668"/>
      <c r="V19" s="667"/>
      <c r="W19" s="668"/>
      <c r="X19" s="1265"/>
      <c r="Y19" s="341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4"/>
      <c r="M5" s="2485"/>
      <c r="N5" s="2485"/>
      <c r="O5" s="2485"/>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4"/>
      <c r="M6" s="2485"/>
      <c r="N6" s="2485"/>
      <c r="O6" s="2485"/>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0"/>
      <c r="Q15" s="1263"/>
      <c r="R15" s="667"/>
      <c r="S15" s="668"/>
      <c r="T15" s="667"/>
      <c r="U15" s="668"/>
      <c r="V15" s="667"/>
      <c r="W15" s="668"/>
      <c r="X15" s="1265"/>
      <c r="Y15" s="341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0"/>
      <c r="Q17" s="1263"/>
      <c r="R17" s="667"/>
      <c r="S17" s="668"/>
      <c r="T17" s="667"/>
      <c r="U17" s="668"/>
      <c r="V17" s="667"/>
      <c r="W17" s="668"/>
      <c r="X17" s="1265"/>
      <c r="Y17" s="341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0"/>
      <c r="Q19" s="1263"/>
      <c r="R19" s="667"/>
      <c r="S19" s="668"/>
      <c r="T19" s="667"/>
      <c r="U19" s="668"/>
      <c r="V19" s="667"/>
      <c r="W19" s="668"/>
      <c r="X19" s="1265"/>
      <c r="Y19" s="341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15">
      <c r="A5" s="348"/>
      <c r="B5" s="349"/>
      <c r="C5" s="3384" t="s">
        <v>1673</v>
      </c>
      <c r="D5" s="3385"/>
      <c r="E5" s="3382" t="s">
        <v>1674</v>
      </c>
      <c r="F5" s="3383"/>
      <c r="G5" s="3384" t="s">
        <v>1675</v>
      </c>
      <c r="H5" s="3385"/>
      <c r="I5" s="3384" t="s">
        <v>1676</v>
      </c>
      <c r="J5" s="3385"/>
      <c r="K5" s="537"/>
      <c r="L5" s="2484"/>
      <c r="M5" s="2485"/>
      <c r="N5" s="2485"/>
      <c r="O5" s="2485"/>
      <c r="P5" s="3397"/>
      <c r="Q5" s="3398"/>
      <c r="R5" s="3380"/>
      <c r="S5" s="3381"/>
      <c r="T5" s="3380"/>
      <c r="U5" s="3381"/>
      <c r="V5" s="3403"/>
      <c r="W5" s="3403"/>
      <c r="X5" s="1265"/>
      <c r="Y5" s="3380"/>
      <c r="Z5" s="3381"/>
      <c r="AA5" s="3374"/>
      <c r="AB5" s="3374"/>
      <c r="AC5" s="3374"/>
    </row>
    <row r="6" spans="1:29" ht="15.75" thickBot="1">
      <c r="A6" s="350"/>
      <c r="B6" s="351"/>
      <c r="C6" s="3386" t="s">
        <v>1677</v>
      </c>
      <c r="D6" s="3387"/>
      <c r="E6" s="3388" t="s">
        <v>1677</v>
      </c>
      <c r="F6" s="3389"/>
      <c r="G6" s="3386" t="s">
        <v>1677</v>
      </c>
      <c r="H6" s="3387"/>
      <c r="I6" s="3386" t="s">
        <v>1677</v>
      </c>
      <c r="J6" s="3387"/>
      <c r="K6" s="537" t="s">
        <v>1678</v>
      </c>
      <c r="L6" s="2484"/>
      <c r="M6" s="2485"/>
      <c r="N6" s="2485"/>
      <c r="O6" s="2485"/>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7"/>
      <c r="M10" s="2488"/>
      <c r="N10" s="2488"/>
      <c r="O10" s="2539"/>
      <c r="P10" s="3408"/>
      <c r="Q10" s="530" t="str">
        <f t="shared" si="6"/>
        <v>土地使用年限（年）</v>
      </c>
      <c r="R10" s="664" t="s">
        <v>14</v>
      </c>
      <c r="S10" s="665">
        <f t="shared" si="0"/>
        <v>105</v>
      </c>
      <c r="T10" s="664" t="s">
        <v>14</v>
      </c>
      <c r="U10" s="665">
        <f t="shared" si="1"/>
        <v>105</v>
      </c>
      <c r="V10" s="664" t="s">
        <v>14</v>
      </c>
      <c r="W10" s="665">
        <f t="shared" si="2"/>
        <v>105</v>
      </c>
      <c r="X10" s="666"/>
      <c r="Y10" s="332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8"/>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0"/>
      <c r="Q16" s="1263"/>
      <c r="R16" s="667"/>
      <c r="S16" s="668"/>
      <c r="T16" s="667"/>
      <c r="U16" s="668"/>
      <c r="V16" s="667"/>
      <c r="W16" s="668"/>
      <c r="X16" s="1265"/>
      <c r="Y16" s="341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0"/>
      <c r="Q18" s="1263"/>
      <c r="R18" s="667"/>
      <c r="S18" s="668"/>
      <c r="T18" s="667"/>
      <c r="U18" s="668"/>
      <c r="V18" s="667"/>
      <c r="W18" s="668"/>
      <c r="X18" s="1265"/>
      <c r="Y18" s="341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0"/>
      <c r="Q20" s="1263"/>
      <c r="R20" s="667"/>
      <c r="S20" s="668"/>
      <c r="T20" s="667"/>
      <c r="U20" s="668"/>
      <c r="V20" s="667"/>
      <c r="W20" s="668"/>
      <c r="X20" s="1265"/>
      <c r="Y20" s="341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0"/>
      <c r="Q24" s="1263"/>
      <c r="R24" s="667"/>
      <c r="S24" s="668"/>
      <c r="T24" s="667"/>
      <c r="U24" s="668"/>
      <c r="V24" s="667"/>
      <c r="W24" s="668"/>
      <c r="X24" s="1265"/>
      <c r="Y24" s="341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0"/>
      <c r="Q26" s="1263"/>
      <c r="R26" s="667"/>
      <c r="S26" s="668"/>
      <c r="T26" s="667"/>
      <c r="U26" s="668"/>
      <c r="V26" s="667"/>
      <c r="W26" s="668"/>
      <c r="X26" s="1265"/>
      <c r="Y26" s="341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0"/>
      <c r="Q28" s="530"/>
      <c r="R28" s="664"/>
      <c r="S28" s="665"/>
      <c r="T28" s="664"/>
      <c r="U28" s="665"/>
      <c r="V28" s="664"/>
      <c r="W28" s="665"/>
      <c r="X28" s="666"/>
      <c r="Y28" s="341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3"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08" t="str">
        <f>A47</f>
        <v>比较价值（元/平方米）</v>
      </c>
      <c r="Q47" s="3408"/>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05" t="str">
        <f>A48</f>
        <v>估价对象XX用房的比较价值（楼面单价，元/平方米）</v>
      </c>
      <c r="Q48" s="3406"/>
      <c r="R48" s="3436" t="e">
        <f>ROUND(IF(D47="简单平均",AVERAGE(R47:W47),R47*F47+T47*H47+V47*J47),0)</f>
        <v>#DIV/0!</v>
      </c>
      <c r="S48" s="3436"/>
      <c r="T48" s="3436"/>
      <c r="U48" s="3436"/>
      <c r="V48" s="3436"/>
      <c r="W48" s="343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1" t="s">
        <v>1887</v>
      </c>
      <c r="H55" s="343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1590.73</v>
      </c>
      <c r="F56" s="833" t="e">
        <f t="shared" ref="F56:F64" si="15">ROUND(B56*E56/10000,0)</f>
        <v>#DIV/0!</v>
      </c>
      <c r="G56" s="3390"/>
      <c r="H56" s="340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1590.73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13" zoomScale="80" zoomScaleNormal="60" zoomScaleSheetLayoutView="80" workbookViewId="0">
      <selection activeCell="F13" sqref="F1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232</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1458</v>
      </c>
      <c r="C3" s="195" t="s">
        <v>1869</v>
      </c>
      <c r="D3" s="1111">
        <f>'数据-汇总表'!F19</f>
        <v>1590.73</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ht="54" customHeight="1">
      <c r="A5" s="348"/>
      <c r="B5" s="349"/>
      <c r="C5" s="3440" t="s">
        <v>3449</v>
      </c>
      <c r="D5" s="3441"/>
      <c r="E5" s="3438" t="str">
        <f>土地案例!A2</f>
        <v>北京市平谷新城北部产业用地D02-01地块M1工业用地国有建设用地使用权出让公告</v>
      </c>
      <c r="F5" s="3439"/>
      <c r="G5" s="3440" t="str">
        <f>土地案例!A3</f>
        <v>北京市平谷新城北部产业用地F01地块M1工业用地国有建设用地使用权出让公告</v>
      </c>
      <c r="H5" s="3441"/>
      <c r="I5" s="3440" t="str">
        <f>土地案例!A4</f>
        <v>北京市平谷新城北部产业用地F05-05地块M2工业用地</v>
      </c>
      <c r="J5" s="3441"/>
      <c r="K5" s="537"/>
      <c r="L5" s="2484"/>
      <c r="M5" s="2485"/>
      <c r="N5" s="2485"/>
      <c r="O5" s="2485"/>
      <c r="P5" s="3397"/>
      <c r="Q5" s="3398"/>
      <c r="R5" s="3380"/>
      <c r="S5" s="3381"/>
      <c r="T5" s="3380"/>
      <c r="U5" s="3381"/>
      <c r="V5" s="3403"/>
      <c r="W5" s="3403"/>
      <c r="X5" s="1265"/>
      <c r="Y5" s="3380"/>
      <c r="Z5" s="3381"/>
      <c r="AA5" s="3374"/>
      <c r="AB5" s="3374"/>
      <c r="AC5" s="3374"/>
    </row>
    <row r="6" spans="1:29" ht="15.75" thickBot="1">
      <c r="A6" s="350"/>
      <c r="B6" s="351"/>
      <c r="C6" s="3442" t="s">
        <v>1919</v>
      </c>
      <c r="D6" s="3443"/>
      <c r="E6" s="3444" t="s">
        <v>1919</v>
      </c>
      <c r="F6" s="3445"/>
      <c r="G6" s="3442" t="s">
        <v>1919</v>
      </c>
      <c r="H6" s="3443"/>
      <c r="I6" s="3442" t="s">
        <v>1919</v>
      </c>
      <c r="J6" s="3443"/>
      <c r="K6" s="537" t="s">
        <v>1678</v>
      </c>
      <c r="L6" s="2484"/>
      <c r="M6" s="2485"/>
      <c r="N6" s="2485"/>
      <c r="O6" s="2485"/>
      <c r="P6" s="3399"/>
      <c r="Q6" s="3400"/>
      <c r="R6" s="3380"/>
      <c r="S6" s="3381"/>
      <c r="T6" s="3401"/>
      <c r="U6" s="3402"/>
      <c r="V6" s="3403"/>
      <c r="W6" s="3403"/>
      <c r="X6" s="1265"/>
      <c r="Y6" s="3401"/>
      <c r="Z6" s="3402"/>
      <c r="AA6" s="3375"/>
      <c r="AB6" s="3375"/>
      <c r="AC6" s="3375"/>
    </row>
    <row r="7" spans="1:29" s="102" customFormat="1" ht="15.75" thickBot="1">
      <c r="A7" s="352" t="s">
        <v>1679</v>
      </c>
      <c r="B7" s="353"/>
      <c r="C7" s="354">
        <f>'数据-取费表'!B2</f>
        <v>45009</v>
      </c>
      <c r="D7" s="355">
        <v>100</v>
      </c>
      <c r="E7" s="356" t="str">
        <f>土地案例!K2</f>
        <v>2021-08-11</v>
      </c>
      <c r="F7" s="357">
        <f>SUMIF(65:65,YEAR(E7)&amp;"-"&amp;INT((MONTH(E7)+2)/3),66:66)</f>
        <v>97</v>
      </c>
      <c r="G7" s="1822" t="str">
        <f>土地案例!K3</f>
        <v>2021-08-11</v>
      </c>
      <c r="H7" s="355">
        <f>SUMIF(65:65,YEAR(G7)&amp;"-"&amp;INT((MONTH(G7)+2)/3),66:66)</f>
        <v>97</v>
      </c>
      <c r="I7" s="1822" t="str">
        <f>土地案例!K4</f>
        <v>2020-02-17</v>
      </c>
      <c r="J7" s="355">
        <f>SUMIF(65:65,YEAR(I7)&amp;"-"&amp;INT((MONTH(I7)+2)/3),66:66)</f>
        <v>94</v>
      </c>
      <c r="K7" s="38"/>
      <c r="L7" s="2486"/>
      <c r="M7" s="2438"/>
      <c r="N7" s="2438"/>
      <c r="O7" s="2438"/>
      <c r="P7" s="3376" t="s">
        <v>1680</v>
      </c>
      <c r="Q7" s="3404"/>
      <c r="R7" s="664" t="s">
        <v>14</v>
      </c>
      <c r="S7" s="665">
        <f t="shared" ref="S7:S15" si="0">F7</f>
        <v>97</v>
      </c>
      <c r="T7" s="664" t="s">
        <v>14</v>
      </c>
      <c r="U7" s="665">
        <f t="shared" ref="U7:U15" si="1">H7</f>
        <v>97</v>
      </c>
      <c r="V7" s="664" t="s">
        <v>14</v>
      </c>
      <c r="W7" s="665">
        <f t="shared" ref="W7:W15" si="2">J7</f>
        <v>94</v>
      </c>
      <c r="X7" s="666"/>
      <c r="Y7" s="3376" t="s">
        <v>1680</v>
      </c>
      <c r="Z7" s="3377"/>
      <c r="AA7" s="50">
        <f>D7/F7</f>
        <v>1.0309278350515463</v>
      </c>
      <c r="AB7" s="50">
        <f>D7/H7</f>
        <v>1.0309278350515463</v>
      </c>
      <c r="AC7" s="50">
        <f>D7/J7</f>
        <v>1.0638297872340425</v>
      </c>
    </row>
    <row r="8" spans="1:29" s="102" customFormat="1" ht="15.75" thickBot="1">
      <c r="A8" s="352" t="s">
        <v>1681</v>
      </c>
      <c r="B8" s="353"/>
      <c r="C8" s="358" t="s">
        <v>1682</v>
      </c>
      <c r="D8" s="355">
        <v>100</v>
      </c>
      <c r="E8" s="358" t="s">
        <v>3450</v>
      </c>
      <c r="F8" s="357">
        <f>SUMIF(68:68,E8,69:69)-SUMIF(68:68,C8,69:69)+100</f>
        <v>100</v>
      </c>
      <c r="G8" s="358" t="s">
        <v>3450</v>
      </c>
      <c r="H8" s="355">
        <f>SUMIF(68:68,G8,69:69)-SUMIF(68:68,C8,69:69)+100</f>
        <v>100</v>
      </c>
      <c r="I8" s="358" t="s">
        <v>3450</v>
      </c>
      <c r="J8" s="355">
        <f>SUMIF(68:68,I8,69:69)-SUMIF(68:68,C8,69:69)+100</f>
        <v>100</v>
      </c>
      <c r="K8" s="38"/>
      <c r="L8" s="2486"/>
      <c r="M8" s="2438"/>
      <c r="N8" s="2438"/>
      <c r="O8" s="2438"/>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6"/>
      <c r="M9" s="2438"/>
      <c r="N9" s="2438"/>
      <c r="O9" s="2538"/>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87"/>
      <c r="M10" s="2488"/>
      <c r="N10" s="2488"/>
      <c r="O10" s="2539"/>
      <c r="P10" s="3408"/>
      <c r="Q10" s="530" t="str">
        <f t="shared" si="6"/>
        <v>土地使用年限（年）</v>
      </c>
      <c r="R10" s="664" t="s">
        <v>14</v>
      </c>
      <c r="S10" s="665">
        <f t="shared" si="0"/>
        <v>105</v>
      </c>
      <c r="T10" s="664" t="s">
        <v>14</v>
      </c>
      <c r="U10" s="665">
        <f t="shared" si="1"/>
        <v>105</v>
      </c>
      <c r="V10" s="664" t="s">
        <v>14</v>
      </c>
      <c r="W10" s="665">
        <f t="shared" si="2"/>
        <v>105</v>
      </c>
      <c r="X10" s="666"/>
      <c r="Y10" s="3320"/>
      <c r="Z10" s="50" t="str">
        <f t="shared" si="7"/>
        <v>土地使用年限（年）</v>
      </c>
      <c r="AA10" s="50">
        <f t="shared" si="3"/>
        <v>0.95238095238095233</v>
      </c>
      <c r="AB10" s="50">
        <f t="shared" si="4"/>
        <v>0.95238095238095233</v>
      </c>
      <c r="AC10" s="50">
        <f t="shared" si="5"/>
        <v>0.95238095238095233</v>
      </c>
    </row>
    <row r="11" spans="1:29" ht="15">
      <c r="A11" s="367"/>
      <c r="B11" s="364" t="s">
        <v>1689</v>
      </c>
      <c r="C11" s="368">
        <v>1.2</v>
      </c>
      <c r="D11" s="119">
        <v>100</v>
      </c>
      <c r="E11" s="368">
        <v>1.1000000000000001</v>
      </c>
      <c r="F11" s="119">
        <f>LOOKUP(E11,75:75,76:76)-LOOKUP(C11,75:75,76:76)+100</f>
        <v>100</v>
      </c>
      <c r="G11" s="369">
        <v>1</v>
      </c>
      <c r="H11" s="119">
        <f>LOOKUP(G11,75:75,76:76)-LOOKUP(C11,75:75,76:76)+100</f>
        <v>100</v>
      </c>
      <c r="I11" s="368">
        <v>1</v>
      </c>
      <c r="J11" s="119">
        <f>LOOKUP(I11,75:75,76:76)-LOOKUP(C11,75:75,76:76)+100</f>
        <v>100</v>
      </c>
      <c r="K11" s="593">
        <v>2</v>
      </c>
      <c r="L11" s="2489"/>
      <c r="M11" s="2485"/>
      <c r="N11" s="2485"/>
      <c r="O11" s="2540"/>
      <c r="P11" s="3408"/>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54" t="s">
        <v>1920</v>
      </c>
      <c r="C15" s="1819" t="str">
        <f>估价对象房地状况!G15</f>
        <v>较好</v>
      </c>
      <c r="D15" s="380">
        <v>100</v>
      </c>
      <c r="E15" s="381"/>
      <c r="F15" s="380">
        <f>SUMIF(83:83,E16,84:84)-SUMIF(83:83,C16,84:84)+100</f>
        <v>100</v>
      </c>
      <c r="G15" s="381"/>
      <c r="H15" s="380">
        <f>SUMIF(83:83,G16,84:84)-SUMIF(83:83,C16,84:84)+100</f>
        <v>100</v>
      </c>
      <c r="I15" s="383"/>
      <c r="J15" s="380">
        <f>SUMIF(83:83,I16,84:84)-SUMIF(83:83,C16,84:84)+100</f>
        <v>100</v>
      </c>
      <c r="K15" s="593">
        <v>3</v>
      </c>
      <c r="L15" s="2490"/>
      <c r="M15" s="2485"/>
      <c r="N15" s="2485"/>
      <c r="O15" s="2540"/>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t="s">
        <v>3393</v>
      </c>
      <c r="D16" s="387"/>
      <c r="E16" s="1758" t="s">
        <v>3393</v>
      </c>
      <c r="F16" s="387"/>
      <c r="G16" s="1758" t="s">
        <v>3393</v>
      </c>
      <c r="H16" s="389"/>
      <c r="I16" s="1758" t="s">
        <v>3393</v>
      </c>
      <c r="J16" s="387"/>
      <c r="K16" s="592"/>
      <c r="L16" s="2490"/>
      <c r="M16" s="2485"/>
      <c r="N16" s="2485"/>
      <c r="O16" s="2540"/>
      <c r="P16" s="3410"/>
      <c r="Q16" s="1263"/>
      <c r="R16" s="667"/>
      <c r="S16" s="668"/>
      <c r="T16" s="667"/>
      <c r="U16" s="668"/>
      <c r="V16" s="667"/>
      <c r="W16" s="668"/>
      <c r="X16" s="1265"/>
      <c r="Y16" s="3410"/>
      <c r="Z16" s="1264"/>
      <c r="AA16" s="1264">
        <v>1</v>
      </c>
      <c r="AB16" s="1264">
        <v>1</v>
      </c>
      <c r="AC16" s="1264">
        <v>1</v>
      </c>
    </row>
    <row r="17" spans="1:29" ht="15">
      <c r="A17" s="367"/>
      <c r="B17" s="556" t="s">
        <v>1833</v>
      </c>
      <c r="C17" s="1754" t="str">
        <f>估价对象房地状况!G16</f>
        <v>一般</v>
      </c>
      <c r="D17" s="389">
        <v>100</v>
      </c>
      <c r="E17" s="391"/>
      <c r="F17" s="394">
        <f>SUMIF(85:85,E18,86:86)-SUMIF(85:85,C18,86:86)+100</f>
        <v>100</v>
      </c>
      <c r="G17" s="391"/>
      <c r="H17" s="394">
        <f>SUMIF(85:85,G18,86:86)-SUMIF(85:85,C18,86:86)+100</f>
        <v>100</v>
      </c>
      <c r="I17" s="393"/>
      <c r="J17" s="389">
        <f>SUMIF(85:85,I18,86:86)-SUMIF(85:85,C18,86:86)+100</f>
        <v>100</v>
      </c>
      <c r="K17" s="593">
        <v>2</v>
      </c>
      <c r="L17" s="2490"/>
      <c r="M17" s="2485"/>
      <c r="N17" s="2485"/>
      <c r="O17" s="2540"/>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t="s">
        <v>3394</v>
      </c>
      <c r="D18" s="387"/>
      <c r="E18" s="1752" t="s">
        <v>3394</v>
      </c>
      <c r="F18" s="387"/>
      <c r="G18" s="1752" t="s">
        <v>3394</v>
      </c>
      <c r="H18" s="387"/>
      <c r="I18" s="1751" t="s">
        <v>3394</v>
      </c>
      <c r="J18" s="387"/>
      <c r="K18" s="592"/>
      <c r="L18" s="2490"/>
      <c r="M18" s="2485"/>
      <c r="N18" s="2485"/>
      <c r="O18" s="2540"/>
      <c r="P18" s="3410"/>
      <c r="Q18" s="1263"/>
      <c r="R18" s="667"/>
      <c r="S18" s="668"/>
      <c r="T18" s="667"/>
      <c r="U18" s="668"/>
      <c r="V18" s="667"/>
      <c r="W18" s="668"/>
      <c r="X18" s="1265"/>
      <c r="Y18" s="341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0"/>
      <c r="M19" s="2485"/>
      <c r="N19" s="2485"/>
      <c r="O19" s="2540"/>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t="s">
        <v>3393</v>
      </c>
      <c r="D20" s="387"/>
      <c r="E20" s="1752" t="s">
        <v>3393</v>
      </c>
      <c r="F20" s="387"/>
      <c r="G20" s="1752" t="s">
        <v>3393</v>
      </c>
      <c r="H20" s="387"/>
      <c r="I20" s="1752" t="s">
        <v>3393</v>
      </c>
      <c r="J20" s="387"/>
      <c r="K20" s="698"/>
      <c r="L20" s="2490"/>
      <c r="M20" s="2485"/>
      <c r="N20" s="2485"/>
      <c r="O20" s="2540"/>
      <c r="P20" s="3410"/>
      <c r="Q20" s="1263"/>
      <c r="R20" s="667"/>
      <c r="S20" s="668"/>
      <c r="T20" s="667"/>
      <c r="U20" s="668"/>
      <c r="V20" s="667"/>
      <c r="W20" s="668"/>
      <c r="X20" s="1265"/>
      <c r="Y20" s="3410"/>
      <c r="Z20" s="1264"/>
      <c r="AA20" s="1264"/>
      <c r="AB20" s="1264"/>
      <c r="AC20" s="1264"/>
    </row>
    <row r="21" spans="1:29" ht="15">
      <c r="A21" s="348"/>
      <c r="B21" s="556" t="s">
        <v>1921</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v>2</v>
      </c>
      <c r="L21" s="2490"/>
      <c r="M21" s="2485"/>
      <c r="N21" s="2485"/>
      <c r="O21" s="2540"/>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t="s">
        <v>3393</v>
      </c>
      <c r="D22" s="387"/>
      <c r="E22" s="1758" t="s">
        <v>3393</v>
      </c>
      <c r="F22" s="387"/>
      <c r="G22" s="1758" t="s">
        <v>3393</v>
      </c>
      <c r="H22" s="387"/>
      <c r="I22" s="386" t="s">
        <v>3393</v>
      </c>
      <c r="J22" s="387"/>
      <c r="K22" s="592"/>
      <c r="L22" s="2490"/>
      <c r="M22" s="2485"/>
      <c r="N22" s="2485"/>
      <c r="O22" s="2540"/>
      <c r="P22" s="3410"/>
      <c r="Q22" s="1263"/>
      <c r="R22" s="667"/>
      <c r="S22" s="668"/>
      <c r="T22" s="667"/>
      <c r="U22" s="668"/>
      <c r="V22" s="667"/>
      <c r="W22" s="668"/>
      <c r="X22" s="1265"/>
      <c r="Y22" s="3410"/>
      <c r="Z22" s="1264"/>
      <c r="AA22" s="1264">
        <v>1</v>
      </c>
      <c r="AB22" s="1264">
        <v>1</v>
      </c>
      <c r="AC22" s="1264">
        <v>1</v>
      </c>
    </row>
    <row r="23" spans="1:29" s="102" customFormat="1" ht="15">
      <c r="A23" s="443"/>
      <c r="B23" s="557" t="s">
        <v>1778</v>
      </c>
      <c r="C23" s="1754" t="str">
        <f>估价对象房地状况!G19</f>
        <v>较差</v>
      </c>
      <c r="D23" s="389">
        <v>100</v>
      </c>
      <c r="E23" s="391"/>
      <c r="F23" s="389">
        <f>SUMIF(91:91,E24,92:92)-SUMIF(91:91,C24,92:92)+100</f>
        <v>100</v>
      </c>
      <c r="G23" s="391"/>
      <c r="H23" s="389">
        <f>SUMIF(91:91,G24,92:92)-SUMIF(91:91,C24,92:92)+100</f>
        <v>100</v>
      </c>
      <c r="I23" s="393"/>
      <c r="J23" s="389">
        <f>SUMIF(91:91,I24,92:92)-SUMIF(91:91,C24,92:92)+100</f>
        <v>100</v>
      </c>
      <c r="K23" s="593">
        <v>2</v>
      </c>
      <c r="L23" s="2486"/>
      <c r="M23" s="2438"/>
      <c r="N23" s="2438"/>
      <c r="O23" s="2538"/>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6" t="s">
        <v>3395</v>
      </c>
      <c r="D24" s="387"/>
      <c r="E24" s="1758" t="s">
        <v>3395</v>
      </c>
      <c r="F24" s="387"/>
      <c r="G24" s="1758" t="s">
        <v>3395</v>
      </c>
      <c r="H24" s="387"/>
      <c r="I24" s="386" t="s">
        <v>3395</v>
      </c>
      <c r="J24" s="387"/>
      <c r="K24" s="592"/>
      <c r="L24" s="2486"/>
      <c r="M24" s="2438"/>
      <c r="N24" s="2438"/>
      <c r="O24" s="2538"/>
      <c r="P24" s="3410"/>
      <c r="Q24" s="530"/>
      <c r="R24" s="664"/>
      <c r="S24" s="665"/>
      <c r="T24" s="664"/>
      <c r="U24" s="665"/>
      <c r="V24" s="664"/>
      <c r="W24" s="665"/>
      <c r="X24" s="666"/>
      <c r="Y24" s="3410"/>
      <c r="Z24" s="50"/>
      <c r="AA24" s="50">
        <v>1</v>
      </c>
      <c r="AB24" s="50">
        <v>1</v>
      </c>
      <c r="AC24" s="50">
        <v>1</v>
      </c>
    </row>
    <row r="25" spans="1:29" s="102" customFormat="1" ht="15">
      <c r="A25" s="443"/>
      <c r="B25" s="557" t="s">
        <v>1779</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2</v>
      </c>
      <c r="L25" s="2486"/>
      <c r="M25" s="2438"/>
      <c r="N25" s="2438"/>
      <c r="O25" s="2538"/>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6" t="s">
        <v>3451</v>
      </c>
      <c r="D26" s="387"/>
      <c r="E26" s="1827" t="s">
        <v>3451</v>
      </c>
      <c r="F26" s="387"/>
      <c r="G26" s="1827" t="s">
        <v>3451</v>
      </c>
      <c r="H26" s="387"/>
      <c r="I26" s="1827" t="s">
        <v>3451</v>
      </c>
      <c r="J26" s="387"/>
      <c r="K26" s="592"/>
      <c r="L26" s="2486"/>
      <c r="M26" s="2438"/>
      <c r="N26" s="2438"/>
      <c r="O26" s="2538"/>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3"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f>96842.95+35506.11</f>
        <v>132349.06</v>
      </c>
      <c r="D34" s="405">
        <v>100</v>
      </c>
      <c r="E34" s="599">
        <f>土地案例!D2</f>
        <v>7327.55</v>
      </c>
      <c r="F34" s="405">
        <f>LOOKUP(E34,108:108,109:109)-LOOKUP(C34,108:108,109:109)+100</f>
        <v>92</v>
      </c>
      <c r="G34" s="599">
        <f>土地案例!D3</f>
        <v>99235.68</v>
      </c>
      <c r="H34" s="405">
        <f>LOOKUP(G34,108:108,109:109)-LOOKUP(C34,108:108,109:109)+100</f>
        <v>100</v>
      </c>
      <c r="I34" s="462">
        <f>土地案例!D4</f>
        <v>30231.14</v>
      </c>
      <c r="J34" s="405">
        <f>LOOKUP(I34,108:108,109:109)-LOOKUP(C34,108:108,109:109)+100</f>
        <v>94</v>
      </c>
      <c r="K34" s="539"/>
      <c r="L34" s="2490"/>
      <c r="M34" s="2485"/>
      <c r="N34" s="2485"/>
      <c r="O34" s="2540"/>
      <c r="P34" s="3414"/>
      <c r="Q34" s="1263" t="str">
        <f>B34</f>
        <v>宗地面积</v>
      </c>
      <c r="R34" s="667" t="s">
        <v>14</v>
      </c>
      <c r="S34" s="668">
        <f t="shared" si="10"/>
        <v>92</v>
      </c>
      <c r="T34" s="667" t="s">
        <v>14</v>
      </c>
      <c r="U34" s="668">
        <f t="shared" si="11"/>
        <v>100</v>
      </c>
      <c r="V34" s="667" t="s">
        <v>14</v>
      </c>
      <c r="W34" s="668">
        <f t="shared" si="12"/>
        <v>94</v>
      </c>
      <c r="X34" s="1265"/>
      <c r="Y34" s="3414"/>
      <c r="Z34" s="1264" t="str">
        <f t="shared" si="13"/>
        <v>宗地面积</v>
      </c>
      <c r="AA34" s="1264">
        <f t="shared" si="3"/>
        <v>1.0869565217391304</v>
      </c>
      <c r="AB34" s="1264">
        <f t="shared" si="4"/>
        <v>1</v>
      </c>
      <c r="AC34" s="1264">
        <f t="shared" si="5"/>
        <v>1.0638297872340425</v>
      </c>
    </row>
    <row r="35" spans="1:31" ht="15">
      <c r="A35" s="409"/>
      <c r="B35" s="364" t="s">
        <v>1875</v>
      </c>
      <c r="C35" s="1760" t="s">
        <v>3453</v>
      </c>
      <c r="D35" s="374">
        <v>100</v>
      </c>
      <c r="E35" s="1760" t="s">
        <v>3453</v>
      </c>
      <c r="F35" s="374">
        <f>SUMIF(110:110,E35,111:111)-SUMIF(110:110,C35,111:111)+100</f>
        <v>100</v>
      </c>
      <c r="G35" s="1760" t="s">
        <v>3453</v>
      </c>
      <c r="H35" s="374">
        <f>SUMIF(110:110,G35,111:111)-SUMIF(110:110,C35,111:111)+100</f>
        <v>100</v>
      </c>
      <c r="I35" s="1760" t="s">
        <v>3453</v>
      </c>
      <c r="J35" s="374">
        <f>SUMIF(110:110,I35,111:111)-SUMIF(110:110,C35,111:111)+100</f>
        <v>100</v>
      </c>
      <c r="K35" s="538">
        <v>2</v>
      </c>
      <c r="L35" s="2490"/>
      <c r="M35" s="2485"/>
      <c r="N35" s="2485"/>
      <c r="O35" s="2540"/>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8" t="s">
        <v>3457</v>
      </c>
      <c r="D36" s="119">
        <v>100</v>
      </c>
      <c r="E36" s="1828" t="s">
        <v>3457</v>
      </c>
      <c r="F36" s="374">
        <f>SUMIF(112:112,E36,113:113)-SUMIF(112:112,C36,113:113)+100</f>
        <v>100</v>
      </c>
      <c r="G36" s="1828" t="s">
        <v>3457</v>
      </c>
      <c r="H36" s="374">
        <f>SUMIF(112:112,G36,113:113)-SUMIF(112:112,C36,113:113)+100</f>
        <v>100</v>
      </c>
      <c r="I36" s="1828" t="s">
        <v>3451</v>
      </c>
      <c r="J36" s="374">
        <f>SUMIF(112:112,I36,113:113)-SUMIF(112:112,C36,113:113)+100</f>
        <v>101</v>
      </c>
      <c r="K36" s="538">
        <v>1</v>
      </c>
      <c r="L36" s="2486"/>
      <c r="M36" s="2438"/>
      <c r="N36" s="2438"/>
      <c r="O36" s="2538"/>
      <c r="P36" s="3414"/>
      <c r="Q36" s="1263" t="str">
        <f t="shared" si="14"/>
        <v>宗地开发程度</v>
      </c>
      <c r="R36" s="664" t="s">
        <v>14</v>
      </c>
      <c r="S36" s="665">
        <f t="shared" si="10"/>
        <v>100</v>
      </c>
      <c r="T36" s="664" t="s">
        <v>14</v>
      </c>
      <c r="U36" s="665">
        <f t="shared" si="11"/>
        <v>100</v>
      </c>
      <c r="V36" s="664" t="s">
        <v>14</v>
      </c>
      <c r="W36" s="665">
        <f t="shared" si="12"/>
        <v>101</v>
      </c>
      <c r="X36" s="666"/>
      <c r="Y36" s="3414"/>
      <c r="Z36" s="50" t="str">
        <f t="shared" si="13"/>
        <v>宗地开发程度</v>
      </c>
      <c r="AA36" s="50">
        <f t="shared" si="3"/>
        <v>1</v>
      </c>
      <c r="AB36" s="50">
        <f t="shared" si="4"/>
        <v>1</v>
      </c>
      <c r="AC36" s="50">
        <f t="shared" si="5"/>
        <v>0.99009900990099009</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30" t="s">
        <v>3458</v>
      </c>
      <c r="C41" s="602" t="s">
        <v>0</v>
      </c>
      <c r="D41" s="418"/>
      <c r="E41" s="419">
        <f>土地案例!V2</f>
        <v>1380</v>
      </c>
      <c r="F41" s="420"/>
      <c r="G41" s="421">
        <f>土地案例!V3</f>
        <v>1473</v>
      </c>
      <c r="H41" s="422"/>
      <c r="I41" s="419">
        <f>土地案例!V4</f>
        <v>1365</v>
      </c>
      <c r="J41" s="422"/>
      <c r="K41" s="674"/>
      <c r="L41" s="2492"/>
      <c r="M41" s="2485"/>
      <c r="N41" s="2485"/>
      <c r="O41" s="2485"/>
      <c r="P41" s="3408" t="str">
        <f>A41</f>
        <v>成交单价</v>
      </c>
      <c r="Q41" s="3408"/>
      <c r="R41" s="3403">
        <f>E41</f>
        <v>1380</v>
      </c>
      <c r="S41" s="3403"/>
      <c r="T41" s="3403">
        <f>G41</f>
        <v>1473</v>
      </c>
      <c r="U41" s="3403"/>
      <c r="V41" s="3403">
        <f>I41</f>
        <v>1365</v>
      </c>
      <c r="W41" s="3403"/>
      <c r="X41" s="385"/>
      <c r="Y41" s="673"/>
      <c r="Z41" s="385"/>
      <c r="AA41" s="385"/>
      <c r="AB41" s="385"/>
      <c r="AC41" s="385"/>
    </row>
    <row r="42" spans="1:31" ht="15.75" thickBot="1">
      <c r="A42" s="423" t="s">
        <v>1793</v>
      </c>
      <c r="B42" s="603"/>
      <c r="C42" s="426">
        <f>R43</f>
        <v>1459</v>
      </c>
      <c r="D42" s="2141" t="s">
        <v>2137</v>
      </c>
      <c r="E42" s="426">
        <f>R42</f>
        <v>1473</v>
      </c>
      <c r="F42" s="2142"/>
      <c r="G42" s="425">
        <f>T42</f>
        <v>1446</v>
      </c>
      <c r="H42" s="2142"/>
      <c r="I42" s="426">
        <f>V42</f>
        <v>1457</v>
      </c>
      <c r="J42" s="2142"/>
      <c r="K42" s="2144">
        <f>F42+H42+J42</f>
        <v>0</v>
      </c>
      <c r="L42" s="2492"/>
      <c r="M42" s="2485"/>
      <c r="N42" s="2485"/>
      <c r="O42" s="2485"/>
      <c r="P42" s="3408" t="str">
        <f>A42</f>
        <v>比较价值（元/平方米）</v>
      </c>
      <c r="Q42" s="3408"/>
      <c r="R42" s="3435">
        <f>ROUND(PRODUCT(R41,AA7:AA40),0)</f>
        <v>1473</v>
      </c>
      <c r="S42" s="3435"/>
      <c r="T42" s="3435">
        <f>ROUND(PRODUCT(T41,AB7:AB40),0)</f>
        <v>1446</v>
      </c>
      <c r="U42" s="3435"/>
      <c r="V42" s="3435">
        <f>ROUND(PRODUCT(V41,AC7:AC40),0)</f>
        <v>1457</v>
      </c>
      <c r="W42" s="3435"/>
      <c r="X42" s="385"/>
      <c r="Y42" s="385"/>
      <c r="Z42" s="385"/>
      <c r="AA42" s="385"/>
      <c r="AB42" s="385"/>
      <c r="AC42" s="385"/>
    </row>
    <row r="43" spans="1:31" ht="15.75" thickBot="1">
      <c r="A43" s="427" t="s">
        <v>1794</v>
      </c>
      <c r="B43" s="428"/>
      <c r="C43" s="429">
        <f>R43</f>
        <v>1459</v>
      </c>
      <c r="D43" s="429"/>
      <c r="E43" s="429"/>
      <c r="F43" s="429"/>
      <c r="G43" s="429"/>
      <c r="H43" s="429"/>
      <c r="I43" s="429"/>
      <c r="J43" s="429"/>
      <c r="K43" s="675"/>
      <c r="L43" s="2492"/>
      <c r="M43" s="2485"/>
      <c r="N43" s="2485"/>
      <c r="O43" s="2485"/>
      <c r="P43" s="3405" t="str">
        <f>A43</f>
        <v>估价对象XX用房的比较价值（楼面单价，元/平方米）</v>
      </c>
      <c r="Q43" s="3406"/>
      <c r="R43" s="3436">
        <f>ROUND(IF(D42="简单平均",AVERAGE(R42:W42),R42*F42+T42*H42+V42*J42),0)</f>
        <v>1459</v>
      </c>
      <c r="S43" s="3436"/>
      <c r="T43" s="3436"/>
      <c r="U43" s="3436"/>
      <c r="V43" s="3436"/>
      <c r="W43" s="343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f>IF(E41&lt;E42,E42/E41-1,E41/E42-1)</f>
        <v>6.7391304347826031E-2</v>
      </c>
      <c r="F46" s="435" t="str">
        <f>IF(OR(E46&gt;=0.3,E46&lt;=-0.3),"超过30%","")</f>
        <v/>
      </c>
      <c r="G46" s="434">
        <f>IF(G41&lt;G42,G42/G41-1,G41/G42-1)</f>
        <v>1.8672199170124415E-2</v>
      </c>
      <c r="H46" s="435" t="str">
        <f>IF(OR(G46&gt;=0.3,G46&lt;=-0.3),"超过30%","")</f>
        <v/>
      </c>
      <c r="I46" s="434">
        <f>IF(I41&lt;I42,I42/I41-1,I41/I42-1)</f>
        <v>6.7399267399267382E-2</v>
      </c>
      <c r="J46" s="435" t="str">
        <f>IF(OR(I46&gt;=0.3,I46&lt;=-0.3),"超过30%","")</f>
        <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f>IF(E42&lt;G42,G42/E42-1,E42/G42-1)</f>
        <v>1.8672199170124415E-2</v>
      </c>
      <c r="F47" s="435" t="str">
        <f>IF(OR(E47&gt;=0.2,E47&lt;=-0.2),"超过20%","")</f>
        <v/>
      </c>
      <c r="G47" s="434">
        <f>IF(G42&lt;I42,I42/G42-1,G42/I42-1)</f>
        <v>7.607192254495132E-3</v>
      </c>
      <c r="H47" s="435" t="str">
        <f>IF(OR(G47&gt;=0.2,G47&lt;=-0.2),"超过20%","")</f>
        <v/>
      </c>
      <c r="I47" s="434">
        <f>IF(I42&lt;E42,E42/I42-1,I42/E42-1)</f>
        <v>1.0981468771448233E-2</v>
      </c>
      <c r="J47" s="435" t="str">
        <f>IF(OR(I47&gt;=0.2,I47&lt;=-0.2),"超过20%","")</f>
        <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f>IF(E41&lt;G41,G41/E41-1,E41/G41-1)</f>
        <v>6.7391304347826031E-2</v>
      </c>
      <c r="F48" s="435" t="str">
        <f>IF(OR(E48&gt;=0.3,E48&lt;=-0.3),"超过30%","")</f>
        <v/>
      </c>
      <c r="G48" s="434">
        <f>IF(G41&lt;I41,I41/G41-1,G41/I41-1)</f>
        <v>7.9120879120879062E-2</v>
      </c>
      <c r="H48" s="435" t="str">
        <f>IF(OR(G48&gt;=0.3,G48&lt;=-0.3),"超过30%","")</f>
        <v/>
      </c>
      <c r="I48" s="434">
        <f>IF(I41&lt;E41,E41/I41-1,I41/E41-1)</f>
        <v>1.098901098901095E-2</v>
      </c>
      <c r="J48" s="435" t="str">
        <f>IF(OR(I48&gt;=0.3,I48&lt;=-0.3),"超过30%","")</f>
        <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1" t="s">
        <v>1887</v>
      </c>
      <c r="H50" s="3437"/>
      <c r="I50" s="1264" t="s">
        <v>1922</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f>C43</f>
        <v>1459</v>
      </c>
      <c r="C51" s="610">
        <v>1</v>
      </c>
      <c r="D51" s="890">
        <v>1</v>
      </c>
      <c r="E51" s="610">
        <f>'数据-汇总表'!E8+'数据-汇总表'!E9</f>
        <v>1590.73</v>
      </c>
      <c r="F51" s="611">
        <f t="shared" ref="F51:F60" si="15">ROUND(B51*E51/10000,0)</f>
        <v>232</v>
      </c>
      <c r="G51" s="3390"/>
      <c r="H51" s="340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f>ROUND($C$43*C52*D52,0)</f>
        <v>0</v>
      </c>
      <c r="C52" s="163">
        <f t="shared" ref="C52:C60" si="16">IF($C$50="北京市系数",I52,J52)</f>
        <v>0</v>
      </c>
      <c r="D52" s="891">
        <v>0.25</v>
      </c>
      <c r="E52" s="614"/>
      <c r="F52" s="611">
        <f t="shared" si="15"/>
        <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f t="shared" ref="B53:B60" si="17">ROUND($C$43*C53*D53,0)</f>
        <v>0</v>
      </c>
      <c r="C53" s="163">
        <f t="shared" si="16"/>
        <v>0</v>
      </c>
      <c r="D53" s="891">
        <v>0.25</v>
      </c>
      <c r="E53" s="614"/>
      <c r="F53" s="611">
        <f t="shared" si="15"/>
        <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f t="shared" si="17"/>
        <v>0</v>
      </c>
      <c r="C54" s="163">
        <f t="shared" si="16"/>
        <v>0</v>
      </c>
      <c r="D54" s="891">
        <v>0.25</v>
      </c>
      <c r="E54" s="614"/>
      <c r="F54" s="611">
        <f t="shared" si="15"/>
        <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1590.73</v>
      </c>
      <c r="F61" s="617">
        <f>IF(B41="楼面地价",SUM(F51:F60),ROUND(C43*E61/10000,0))</f>
        <v>232</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1923</v>
      </c>
      <c r="B66" s="280" t="str">
        <f>"北京市平均增长率"&amp;TEXT(基准地价修正!P28,"0.00%")</f>
        <v>北京市平均增长率0.00%</v>
      </c>
      <c r="C66" s="530">
        <v>100</v>
      </c>
      <c r="D66" s="6">
        <f>C66-$C$67</f>
        <v>99.5</v>
      </c>
      <c r="E66" s="6">
        <f t="shared" ref="E66:O66" si="20">D66-$C$67</f>
        <v>99</v>
      </c>
      <c r="F66" s="6">
        <f t="shared" si="20"/>
        <v>98.5</v>
      </c>
      <c r="G66" s="6">
        <f t="shared" si="20"/>
        <v>98</v>
      </c>
      <c r="H66" s="6">
        <f t="shared" si="20"/>
        <v>97.5</v>
      </c>
      <c r="I66" s="6">
        <f t="shared" si="20"/>
        <v>97</v>
      </c>
      <c r="J66" s="6">
        <f t="shared" si="20"/>
        <v>96.5</v>
      </c>
      <c r="K66" s="6">
        <f t="shared" si="20"/>
        <v>96</v>
      </c>
      <c r="L66" s="6">
        <f t="shared" si="20"/>
        <v>95.5</v>
      </c>
      <c r="M66" s="6">
        <f t="shared" si="20"/>
        <v>95</v>
      </c>
      <c r="N66" s="6">
        <f t="shared" si="20"/>
        <v>94.5</v>
      </c>
      <c r="O66" s="6">
        <f t="shared" si="20"/>
        <v>94</v>
      </c>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v>0.5</v>
      </c>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3145" t="s">
        <v>3405</v>
      </c>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v>100</v>
      </c>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0（含）-1</v>
      </c>
      <c r="D74" s="478" t="str">
        <f t="shared" ref="D74:L74" si="21">D75&amp;"（含）"&amp;"-"&amp;E75</f>
        <v>1（含）-2</v>
      </c>
      <c r="E74" s="478" t="str">
        <f t="shared" si="21"/>
        <v>2（含）-</v>
      </c>
      <c r="F74" s="478" t="str">
        <f t="shared" si="21"/>
        <v>（含）-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v>0</v>
      </c>
      <c r="D75" s="480">
        <v>1</v>
      </c>
      <c r="E75" s="480">
        <v>2</v>
      </c>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98</v>
      </c>
      <c r="E76" s="475">
        <f t="shared" ref="E76:M76" si="22">IF($B$41="单位面积地价",D76+$K11,D76-$K11)</f>
        <v>96</v>
      </c>
      <c r="F76" s="475">
        <f t="shared" si="22"/>
        <v>94</v>
      </c>
      <c r="G76" s="475">
        <f t="shared" si="22"/>
        <v>92</v>
      </c>
      <c r="H76" s="475">
        <f t="shared" si="22"/>
        <v>90</v>
      </c>
      <c r="I76" s="475">
        <f t="shared" si="22"/>
        <v>88</v>
      </c>
      <c r="J76" s="475">
        <f t="shared" si="22"/>
        <v>86</v>
      </c>
      <c r="K76" s="475">
        <f t="shared" si="22"/>
        <v>84</v>
      </c>
      <c r="L76" s="475">
        <f t="shared" si="22"/>
        <v>82</v>
      </c>
      <c r="M76" s="475">
        <f t="shared" si="22"/>
        <v>80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97</v>
      </c>
      <c r="E84" s="475">
        <f>D84-$K15</f>
        <v>94</v>
      </c>
      <c r="F84" s="475">
        <f>E84-$K15</f>
        <v>91</v>
      </c>
      <c r="G84" s="475">
        <f>F84-$K15</f>
        <v>88</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98</v>
      </c>
      <c r="E86" s="475">
        <f>D86-$K17</f>
        <v>96</v>
      </c>
      <c r="F86" s="475">
        <f>E86-$K17</f>
        <v>94</v>
      </c>
      <c r="G86" s="475">
        <f>F86-$K17</f>
        <v>92</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98</v>
      </c>
      <c r="E94" s="475">
        <f>D94-$K25</f>
        <v>96</v>
      </c>
      <c r="F94" s="475">
        <f>E94-$K25</f>
        <v>94</v>
      </c>
      <c r="G94" s="475">
        <f>F94-$K25</f>
        <v>92</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28.5">
      <c r="A107" s="379" t="s">
        <v>1694</v>
      </c>
      <c r="B107" s="460" t="s">
        <v>1913</v>
      </c>
      <c r="C107" s="461" t="str">
        <f t="shared" ref="C107:L107" si="26">C108&amp;"(含)"&amp;"-"&amp;D108</f>
        <v>0(含)-20000</v>
      </c>
      <c r="D107" s="461" t="str">
        <f t="shared" si="26"/>
        <v>20000(含)-40000</v>
      </c>
      <c r="E107" s="461" t="str">
        <f t="shared" si="26"/>
        <v>40000(含)-60000</v>
      </c>
      <c r="F107" s="461" t="str">
        <f t="shared" si="26"/>
        <v>60000(含)-80000</v>
      </c>
      <c r="G107" s="461" t="str">
        <f t="shared" si="26"/>
        <v>80000(含)-</v>
      </c>
      <c r="H107" s="461" t="str">
        <f t="shared" si="26"/>
        <v>(含)-</v>
      </c>
      <c r="I107" s="461" t="str">
        <f t="shared" si="26"/>
        <v>(含)-</v>
      </c>
      <c r="J107" s="461" t="str">
        <f t="shared" si="26"/>
        <v>(含)-</v>
      </c>
      <c r="K107" s="1246" t="str">
        <f t="shared" si="26"/>
        <v>(含)-</v>
      </c>
      <c r="L107" s="1246" t="str">
        <f t="shared" si="26"/>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v>0</v>
      </c>
      <c r="D108" s="6">
        <v>20000</v>
      </c>
      <c r="E108" s="6">
        <v>40000</v>
      </c>
      <c r="F108" s="6">
        <v>60000</v>
      </c>
      <c r="G108" s="6">
        <v>80000</v>
      </c>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v>100</v>
      </c>
      <c r="D109" s="521">
        <v>102</v>
      </c>
      <c r="E109" s="521">
        <v>104</v>
      </c>
      <c r="F109" s="521">
        <v>106</v>
      </c>
      <c r="G109" s="521">
        <v>108</v>
      </c>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3154" t="s">
        <v>3452</v>
      </c>
      <c r="D110" s="3154" t="s">
        <v>3454</v>
      </c>
      <c r="E110" s="3154" t="s">
        <v>3455</v>
      </c>
      <c r="F110" s="3154" t="s">
        <v>3456</v>
      </c>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3146" t="s">
        <v>3392</v>
      </c>
      <c r="D112" s="3146" t="s">
        <v>3406</v>
      </c>
      <c r="E112" s="3146" t="s">
        <v>3407</v>
      </c>
      <c r="F112" s="3146" t="s">
        <v>3408</v>
      </c>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7"/>
  <sheetViews>
    <sheetView topLeftCell="C1" workbookViewId="0">
      <selection activeCell="O1" sqref="O1"/>
    </sheetView>
  </sheetViews>
  <sheetFormatPr defaultColWidth="9" defaultRowHeight="13.5"/>
  <cols>
    <col min="1" max="1" width="66.375" style="3153" bestFit="1" customWidth="1"/>
    <col min="2" max="19" width="9" style="3153"/>
    <col min="20" max="20" width="28.75" style="3153" customWidth="1"/>
    <col min="21" max="16384" width="9" style="3153"/>
  </cols>
  <sheetData>
    <row r="1" spans="1:22" s="3149" customFormat="1" ht="25.5">
      <c r="A1" s="3147" t="s">
        <v>3409</v>
      </c>
      <c r="B1" s="3147" t="s">
        <v>3410</v>
      </c>
      <c r="C1" s="3147" t="s">
        <v>3411</v>
      </c>
      <c r="D1" s="3147" t="s">
        <v>3412</v>
      </c>
      <c r="E1" s="3147" t="s">
        <v>3413</v>
      </c>
      <c r="F1" s="3147" t="s">
        <v>3414</v>
      </c>
      <c r="G1" s="3147" t="s">
        <v>3415</v>
      </c>
      <c r="H1" s="3147" t="s">
        <v>3416</v>
      </c>
      <c r="I1" s="3147" t="s">
        <v>3417</v>
      </c>
      <c r="J1" s="3147" t="s">
        <v>3418</v>
      </c>
      <c r="K1" s="3147" t="s">
        <v>3419</v>
      </c>
      <c r="L1" s="3147" t="s">
        <v>3420</v>
      </c>
      <c r="M1" s="3147" t="s">
        <v>3421</v>
      </c>
      <c r="N1" s="3147" t="s">
        <v>3422</v>
      </c>
      <c r="O1" s="3147">
        <f>常用公式!C18</f>
        <v>1.4649000000000001</v>
      </c>
      <c r="P1" s="3148" t="s">
        <v>3423</v>
      </c>
      <c r="Q1" s="3148" t="s">
        <v>3424</v>
      </c>
      <c r="R1" s="3148" t="s">
        <v>3425</v>
      </c>
      <c r="S1" s="3147" t="s">
        <v>3426</v>
      </c>
      <c r="T1" s="3147" t="s">
        <v>3427</v>
      </c>
      <c r="U1" s="3147" t="s">
        <v>3428</v>
      </c>
      <c r="V1" s="3159">
        <f>O1</f>
        <v>1.4649000000000001</v>
      </c>
    </row>
    <row r="2" spans="1:22" s="3151" customFormat="1">
      <c r="A2" s="3150" t="s">
        <v>3429</v>
      </c>
      <c r="B2" s="3150" t="s">
        <v>3371</v>
      </c>
      <c r="C2" s="3150" t="s">
        <v>2470</v>
      </c>
      <c r="D2" s="3150">
        <v>7327.55</v>
      </c>
      <c r="E2" s="3150">
        <v>8060.31</v>
      </c>
      <c r="F2" s="3150">
        <v>1.1000000000000001</v>
      </c>
      <c r="G2" s="3150" t="s">
        <v>3430</v>
      </c>
      <c r="H2" s="3150" t="s">
        <v>3431</v>
      </c>
      <c r="I2" s="3150">
        <v>0</v>
      </c>
      <c r="J2" s="3150" t="s">
        <v>3432</v>
      </c>
      <c r="K2" s="3150" t="s">
        <v>3432</v>
      </c>
      <c r="L2" s="3150">
        <v>759.27</v>
      </c>
      <c r="M2" s="3150">
        <v>759.27</v>
      </c>
      <c r="N2" s="3150">
        <v>942</v>
      </c>
      <c r="O2" s="3150">
        <f>ROUND(N2*$O$1,0)</f>
        <v>1380</v>
      </c>
      <c r="P2" s="3150">
        <f>ROUND(M2/D2*10000,0)</f>
        <v>1036</v>
      </c>
      <c r="Q2" s="3150">
        <f>ROUND(P2*$O$1,0)</f>
        <v>1518</v>
      </c>
      <c r="R2" s="3150">
        <f>ROUND(Q2*666.67/10000,2)</f>
        <v>101.2</v>
      </c>
      <c r="S2" s="3150">
        <v>0</v>
      </c>
      <c r="T2" s="3150" t="s">
        <v>3433</v>
      </c>
      <c r="U2" s="3150" t="s">
        <v>3434</v>
      </c>
      <c r="V2" s="3151">
        <f>ROUND(N2*V1,0)</f>
        <v>1380</v>
      </c>
    </row>
    <row r="3" spans="1:22" s="3151" customFormat="1">
      <c r="A3" s="3150" t="s">
        <v>3435</v>
      </c>
      <c r="B3" s="3150" t="s">
        <v>3371</v>
      </c>
      <c r="C3" s="3150" t="s">
        <v>2470</v>
      </c>
      <c r="D3" s="3150">
        <v>99235.68</v>
      </c>
      <c r="E3" s="3150">
        <v>99235.68</v>
      </c>
      <c r="F3" s="3150">
        <v>1</v>
      </c>
      <c r="G3" s="3150" t="s">
        <v>3430</v>
      </c>
      <c r="H3" s="3150" t="s">
        <v>3431</v>
      </c>
      <c r="I3" s="3150">
        <v>0</v>
      </c>
      <c r="J3" s="3150" t="s">
        <v>3432</v>
      </c>
      <c r="K3" s="3150" t="s">
        <v>3432</v>
      </c>
      <c r="L3" s="3150">
        <v>9975.17</v>
      </c>
      <c r="M3" s="3150">
        <v>9975.17</v>
      </c>
      <c r="N3" s="3150">
        <v>1005.2</v>
      </c>
      <c r="O3" s="3150">
        <f t="shared" ref="O3:O7" si="0">ROUND(N3*$O$1,0)</f>
        <v>1473</v>
      </c>
      <c r="P3" s="3150">
        <f t="shared" ref="P3:P7" si="1">ROUND(M3/D3*10000,0)</f>
        <v>1005</v>
      </c>
      <c r="Q3" s="3150">
        <f t="shared" ref="Q3:Q7" si="2">ROUND(P3*$O$1,0)</f>
        <v>1472</v>
      </c>
      <c r="R3" s="3150">
        <f t="shared" ref="R3:R7" si="3">ROUND(Q3*666.67/10000,2)</f>
        <v>98.13</v>
      </c>
      <c r="S3" s="3150">
        <v>0</v>
      </c>
      <c r="T3" s="3150" t="s">
        <v>3436</v>
      </c>
      <c r="U3" s="3150" t="s">
        <v>3434</v>
      </c>
      <c r="V3" s="3151">
        <f>ROUND(N3*V1,0)</f>
        <v>1473</v>
      </c>
    </row>
    <row r="4" spans="1:22" s="3151" customFormat="1">
      <c r="A4" s="3150" t="s">
        <v>3437</v>
      </c>
      <c r="B4" s="3150" t="s">
        <v>3371</v>
      </c>
      <c r="C4" s="3150" t="s">
        <v>2470</v>
      </c>
      <c r="D4" s="3150">
        <v>30231.14</v>
      </c>
      <c r="E4" s="3150">
        <v>30231.14</v>
      </c>
      <c r="F4" s="3150">
        <v>1</v>
      </c>
      <c r="G4" s="3150" t="s">
        <v>3430</v>
      </c>
      <c r="H4" s="3150" t="s">
        <v>3438</v>
      </c>
      <c r="I4" s="3150">
        <v>0</v>
      </c>
      <c r="J4" s="3150" t="s">
        <v>3439</v>
      </c>
      <c r="K4" s="3150" t="s">
        <v>3439</v>
      </c>
      <c r="L4" s="3150">
        <v>2817.03</v>
      </c>
      <c r="M4" s="3150">
        <v>2817.03</v>
      </c>
      <c r="N4" s="3150">
        <v>931.83</v>
      </c>
      <c r="O4" s="3150">
        <f t="shared" si="0"/>
        <v>1365</v>
      </c>
      <c r="P4" s="3150">
        <f t="shared" si="1"/>
        <v>932</v>
      </c>
      <c r="Q4" s="3150">
        <f t="shared" si="2"/>
        <v>1365</v>
      </c>
      <c r="R4" s="3150">
        <f t="shared" si="3"/>
        <v>91</v>
      </c>
      <c r="S4" s="3150">
        <v>0</v>
      </c>
      <c r="T4" s="3150" t="s">
        <v>3440</v>
      </c>
      <c r="U4" s="3150" t="s">
        <v>3434</v>
      </c>
      <c r="V4" s="3151">
        <f>ROUND(N4*V1,0)</f>
        <v>1365</v>
      </c>
    </row>
    <row r="5" spans="1:22">
      <c r="A5" s="3152" t="s">
        <v>3441</v>
      </c>
      <c r="B5" s="3152" t="s">
        <v>3371</v>
      </c>
      <c r="C5" s="3152" t="s">
        <v>2470</v>
      </c>
      <c r="D5" s="3152">
        <v>34616.870000000003</v>
      </c>
      <c r="E5" s="3152">
        <v>34616.870000000003</v>
      </c>
      <c r="F5" s="3152">
        <v>1</v>
      </c>
      <c r="G5" s="3152" t="s">
        <v>3430</v>
      </c>
      <c r="H5" s="3152" t="s">
        <v>2470</v>
      </c>
      <c r="I5" s="3152">
        <v>0</v>
      </c>
      <c r="J5" s="3152" t="s">
        <v>3442</v>
      </c>
      <c r="K5" s="3152" t="s">
        <v>3442</v>
      </c>
      <c r="L5" s="3152">
        <v>3408.23</v>
      </c>
      <c r="M5" s="3152">
        <v>3408.23</v>
      </c>
      <c r="N5" s="3152">
        <v>984.55</v>
      </c>
      <c r="O5" s="3152">
        <f t="shared" si="0"/>
        <v>1442</v>
      </c>
      <c r="P5" s="3152">
        <f t="shared" si="1"/>
        <v>985</v>
      </c>
      <c r="Q5" s="3152">
        <f t="shared" si="2"/>
        <v>1443</v>
      </c>
      <c r="R5" s="3152">
        <f t="shared" si="3"/>
        <v>96.2</v>
      </c>
      <c r="S5" s="3152">
        <v>0</v>
      </c>
      <c r="T5" s="3152" t="s">
        <v>3443</v>
      </c>
      <c r="U5" s="3152" t="s">
        <v>3434</v>
      </c>
    </row>
    <row r="6" spans="1:22">
      <c r="A6" s="3152" t="s">
        <v>3444</v>
      </c>
      <c r="B6" s="3152" t="s">
        <v>3371</v>
      </c>
      <c r="C6" s="3152" t="s">
        <v>2470</v>
      </c>
      <c r="D6" s="3152">
        <v>17333.330000000002</v>
      </c>
      <c r="E6" s="3152">
        <v>17333</v>
      </c>
      <c r="F6" s="3152">
        <v>1</v>
      </c>
      <c r="G6" s="3152" t="s">
        <v>3430</v>
      </c>
      <c r="H6" s="3152" t="s">
        <v>3</v>
      </c>
      <c r="I6" s="3152">
        <v>0</v>
      </c>
      <c r="J6" s="3152" t="s">
        <v>3445</v>
      </c>
      <c r="K6" s="3152" t="s">
        <v>3445</v>
      </c>
      <c r="L6" s="3152">
        <v>1659.75</v>
      </c>
      <c r="M6" s="3152">
        <v>1659.75</v>
      </c>
      <c r="N6" s="3152">
        <v>957.57</v>
      </c>
      <c r="O6" s="3152">
        <f t="shared" si="0"/>
        <v>1403</v>
      </c>
      <c r="P6" s="3152">
        <f t="shared" si="1"/>
        <v>958</v>
      </c>
      <c r="Q6" s="3152">
        <f t="shared" si="2"/>
        <v>1403</v>
      </c>
      <c r="R6" s="3152">
        <f t="shared" si="3"/>
        <v>93.53</v>
      </c>
      <c r="S6" s="3152">
        <v>0</v>
      </c>
      <c r="T6" s="3152" t="s">
        <v>3446</v>
      </c>
      <c r="U6" s="3152" t="s">
        <v>3434</v>
      </c>
    </row>
    <row r="7" spans="1:22">
      <c r="A7" s="3152" t="s">
        <v>3447</v>
      </c>
      <c r="B7" s="3152" t="s">
        <v>3371</v>
      </c>
      <c r="C7" s="3152" t="s">
        <v>2470</v>
      </c>
      <c r="D7" s="3152">
        <v>17333.330000000002</v>
      </c>
      <c r="E7" s="3152">
        <v>17333</v>
      </c>
      <c r="F7" s="3152">
        <v>1</v>
      </c>
      <c r="G7" s="3152" t="s">
        <v>3430</v>
      </c>
      <c r="H7" s="3152" t="s">
        <v>3</v>
      </c>
      <c r="I7" s="3152">
        <v>0</v>
      </c>
      <c r="J7" s="3152" t="s">
        <v>3445</v>
      </c>
      <c r="K7" s="3152" t="s">
        <v>3445</v>
      </c>
      <c r="L7" s="3152">
        <v>1658.01</v>
      </c>
      <c r="M7" s="3152">
        <v>1658.01</v>
      </c>
      <c r="N7" s="3152">
        <v>956.57</v>
      </c>
      <c r="O7" s="3152">
        <f t="shared" si="0"/>
        <v>1401</v>
      </c>
      <c r="P7" s="3152">
        <f t="shared" si="1"/>
        <v>957</v>
      </c>
      <c r="Q7" s="3152">
        <f t="shared" si="2"/>
        <v>1402</v>
      </c>
      <c r="R7" s="3152">
        <f t="shared" si="3"/>
        <v>93.47</v>
      </c>
      <c r="S7" s="3152">
        <v>0</v>
      </c>
      <c r="T7" s="3152" t="s">
        <v>3448</v>
      </c>
      <c r="U7" s="3152" t="s">
        <v>3434</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80" zoomScaleNormal="80" zoomScaleSheetLayoutView="80" workbookViewId="0">
      <selection activeCell="F34" sqref="F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0</v>
      </c>
      <c r="C2" s="1846" t="s">
        <v>1934</v>
      </c>
      <c r="D2" s="162" t="s">
        <v>1935</v>
      </c>
      <c r="E2" s="3118" t="s">
        <v>3</v>
      </c>
      <c r="F2" s="162" t="s">
        <v>1936</v>
      </c>
      <c r="G2" s="163" t="str">
        <f>IF(E2="商业",项目基本情况!B37,IF(E2="办公",项目基本情况!C37,IF(E2="住宅",项目基本情况!D37,IF(E2="工业",项目基本情况!E37,项目基本情况!F37))))</f>
        <v>十级</v>
      </c>
      <c r="H2" s="162" t="s">
        <v>1937</v>
      </c>
      <c r="I2" s="163" t="str">
        <f>IF(E2="商业",项目基本情况!B38,IF(E2="办公",项目基本情况!C38,IF(E2="住宅",项目基本情况!D38,IF(E2="工业",项目基本情况!E38,项目基本情况!F38))))</f>
        <v>Ⅹ-平1</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1237</v>
      </c>
      <c r="U2" s="1130"/>
      <c r="V2" s="3061">
        <f>ROUND(T2*U2/10000,0)</f>
        <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6" t="s">
        <v>2470</v>
      </c>
      <c r="F3" s="1848" t="s">
        <v>3379</v>
      </c>
      <c r="G3" s="708">
        <f>IF(F3="宗地容积率",'数据-汇总表'!I4,IF(F3="估价对象容积率",'数据-汇总表'!I6,'数据-汇总表'!I7))</f>
        <v>1.2</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954</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53"/>
      <c r="B4" s="3454"/>
      <c r="C4" s="3454"/>
      <c r="D4" s="3455"/>
      <c r="E4" s="3455"/>
      <c r="F4" s="3455"/>
      <c r="G4" s="3455"/>
      <c r="H4" s="3455"/>
      <c r="I4" s="3455"/>
      <c r="J4" s="3456"/>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778</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770</v>
      </c>
      <c r="D5" s="1252">
        <f>ROUND(C6*C17+C20,0)</f>
        <v>770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660</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730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602</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3232</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1954</v>
      </c>
      <c r="X7" s="1131" t="str">
        <f>G2</f>
        <v>十级</v>
      </c>
      <c r="Y7" s="1131" t="s">
        <v>1955</v>
      </c>
      <c r="Z7" s="1132">
        <f>G3</f>
        <v>1.2</v>
      </c>
      <c r="AA7" s="1133"/>
      <c r="AB7" s="1133"/>
      <c r="AC7" s="1134"/>
      <c r="AD7" s="1135"/>
      <c r="AE7" s="1135"/>
      <c r="AF7" s="1135"/>
      <c r="AG7" s="1135"/>
      <c r="AH7" s="1135"/>
      <c r="AI7" s="1135"/>
      <c r="AJ7" s="1136"/>
    </row>
    <row r="8" spans="1:36" ht="25.5">
      <c r="A8" s="3007"/>
      <c r="B8" s="162" t="s">
        <v>1956</v>
      </c>
      <c r="C8" s="1870" t="s">
        <v>3380</v>
      </c>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0" t="s">
        <v>1959</v>
      </c>
      <c r="X8" s="3451"/>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7"/>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2"/>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730</v>
      </c>
      <c r="N10" s="813">
        <f>SUMPRODUCT((因素修正幅度!B327:B357=I2)*(因素修正幅度!C3:G3=E2)*(因素修正幅度!C327:G357))</f>
        <v>0.14399999999999999</v>
      </c>
      <c r="O10" s="1056"/>
      <c r="P10" s="1056"/>
      <c r="Q10" s="1056"/>
      <c r="R10" s="1129">
        <v>9</v>
      </c>
      <c r="S10" s="1130"/>
      <c r="T10" s="3061">
        <f t="shared" si="0"/>
        <v>0</v>
      </c>
      <c r="U10" s="1130"/>
      <c r="V10" s="3061">
        <f t="shared" si="1"/>
        <v>0</v>
      </c>
      <c r="W10" s="345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1981</v>
      </c>
      <c r="C13" s="711">
        <f>ROUND(C16*D16*E16*F16*G16*H16*I16*J16,4)</f>
        <v>0</v>
      </c>
      <c r="D13" s="1879" t="s">
        <v>1982</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1984</v>
      </c>
      <c r="C14" s="1884" t="s">
        <v>1985</v>
      </c>
      <c r="D14" s="1261" t="s">
        <v>1986</v>
      </c>
      <c r="E14" s="27" t="s">
        <v>1987</v>
      </c>
      <c r="F14" s="3018" t="s">
        <v>3238</v>
      </c>
      <c r="G14" s="3018" t="s">
        <v>3238</v>
      </c>
      <c r="H14" s="3018" t="s">
        <v>3238</v>
      </c>
      <c r="I14" s="3018" t="s">
        <v>3238</v>
      </c>
      <c r="J14" s="3018" t="s">
        <v>3238</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1988</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57" t="s">
        <v>3249</v>
      </c>
      <c r="B20" s="159" t="s">
        <v>1993</v>
      </c>
      <c r="C20" s="3029">
        <f>ROUND(IF(F21="与级别开发程度一致",0,(G21-E21)/C21),0)</f>
        <v>40</v>
      </c>
      <c r="D20" s="3044" t="s">
        <v>1997</v>
      </c>
      <c r="E20" s="3045"/>
      <c r="F20" s="3463" t="s">
        <v>1994</v>
      </c>
      <c r="G20" s="3464"/>
      <c r="H20" s="3030" t="s">
        <v>3382</v>
      </c>
      <c r="I20" s="3030" t="s">
        <v>3383</v>
      </c>
      <c r="J20" s="3031" t="s">
        <v>3384</v>
      </c>
      <c r="K20" s="1889" t="s">
        <v>3385</v>
      </c>
      <c r="L20" s="1889" t="s">
        <v>3386</v>
      </c>
      <c r="M20" s="1889" t="s">
        <v>3387</v>
      </c>
      <c r="N20" s="1889" t="s">
        <v>3388</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58"/>
      <c r="B21" s="2002" t="s">
        <v>1996</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3381</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10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1999</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2000</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896" t="s">
        <v>2001</v>
      </c>
      <c r="E23" s="717">
        <v>44197</v>
      </c>
      <c r="F23" s="1896" t="s">
        <v>2002</v>
      </c>
      <c r="G23" s="718">
        <f>'数据-取费表'!B2</f>
        <v>45009</v>
      </c>
      <c r="H23" s="3046" t="s">
        <v>3251</v>
      </c>
      <c r="I23" s="3047" t="str">
        <f>IF(H23="季度增幅（自定义）",SUMIF(N25:N28,E2,O25:O28),"")</f>
        <v/>
      </c>
      <c r="J23" s="3139" t="s">
        <v>3250</v>
      </c>
      <c r="K23" s="1061"/>
      <c r="L23" s="1897" t="s">
        <v>2003</v>
      </c>
      <c r="M23" s="1241">
        <f>ROUND(SUMIF(地价!B2:G2,E2,地价!B16:G16),0)</f>
        <v>318</v>
      </c>
      <c r="N23" s="1898" t="s">
        <v>2004</v>
      </c>
      <c r="O23" s="719">
        <f>ROUNDDOWN(DATEDIF(E23,G23,"M")/3,0)</f>
        <v>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0.94810000000000005</v>
      </c>
      <c r="D24" s="1902" t="s">
        <v>2006</v>
      </c>
      <c r="E24" s="1248">
        <f>存贷款利率!E22/100</f>
        <v>4.3499999999999997E-2</v>
      </c>
      <c r="F24" s="1902" t="s">
        <v>1998</v>
      </c>
      <c r="G24" s="724">
        <f>SUMIF(M30:Q30,E2,M33:Q33)</f>
        <v>0.05</v>
      </c>
      <c r="H24" s="1902" t="s">
        <v>2007</v>
      </c>
      <c r="I24" s="725">
        <f>SUMIF('数据-取费表'!C6:C15,E2,'数据-取费表'!F6:F15)/COUNTIF('数据-取费表'!C6:C15,E2)</f>
        <v>41.11</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0.93879999999999997</v>
      </c>
      <c r="D25" s="1909"/>
      <c r="E25" s="1909"/>
      <c r="F25" s="1909"/>
      <c r="G25" s="1909"/>
      <c r="H25" s="1909"/>
      <c r="I25" s="1909"/>
      <c r="J25" s="1910"/>
      <c r="K25" s="1061"/>
      <c r="L25" s="2550"/>
      <c r="M25" s="2550"/>
      <c r="N25" s="1911" t="s">
        <v>2012</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3252</v>
      </c>
      <c r="D26" s="1263">
        <f>IF(E26=G26,F26,IF(G3&lt;10,ROUND(F26+(H26-F26)*(G3-E26)/(G26-E26),4),"——"))</f>
        <v>0.93879999999999997</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1912" t="s">
        <v>3253</v>
      </c>
      <c r="J26" s="374" t="str">
        <f>IF(G3&gt;=10,D115,"——")</f>
        <v>——</v>
      </c>
      <c r="K26" s="1061"/>
      <c r="L26" s="2550"/>
      <c r="M26" s="2550"/>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1.0467</v>
      </c>
      <c r="D28" s="1894"/>
      <c r="E28" s="1919"/>
      <c r="F28" s="1919"/>
      <c r="G28" s="1919"/>
      <c r="H28" s="1919"/>
      <c r="I28" s="1919"/>
      <c r="J28" s="1920"/>
      <c r="K28" s="1061"/>
      <c r="L28" s="2550"/>
      <c r="M28" s="2550"/>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47" t="s">
        <v>2022</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0</v>
      </c>
      <c r="D30" s="1925"/>
      <c r="E30" s="1842"/>
      <c r="F30" s="1926"/>
      <c r="G30" s="1842"/>
      <c r="H30" s="1842"/>
      <c r="I30" s="1842"/>
      <c r="J30" s="1927"/>
      <c r="K30" s="1056"/>
      <c r="L30" s="3053" t="s">
        <v>1935</v>
      </c>
      <c r="M30" s="3054" t="s">
        <v>1989</v>
      </c>
      <c r="N30" s="3054" t="s">
        <v>1990</v>
      </c>
      <c r="O30" s="3054" t="s">
        <v>1991</v>
      </c>
      <c r="P30" s="3054" t="s">
        <v>1992</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0</v>
      </c>
      <c r="D31" s="1929"/>
      <c r="E31" s="1930"/>
      <c r="F31" s="1931"/>
      <c r="G31" s="1930"/>
      <c r="H31" s="1930"/>
      <c r="I31" s="1930"/>
      <c r="J31" s="1932"/>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6" t="s">
        <v>1998</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753</v>
      </c>
      <c r="D33" s="1940"/>
      <c r="E33" s="727">
        <f>ROUND(C33*D33/10000,0)</f>
        <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113</v>
      </c>
      <c r="D34" s="1945"/>
      <c r="E34" s="727">
        <f>ROUND(IF(B25="楼层修正",SUM(V2:V16)*M40,C34*D34/10000),0)</f>
        <v>0</v>
      </c>
      <c r="F34" s="1946" t="s">
        <v>2031</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49" t="s">
        <v>3256</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3260</v>
      </c>
      <c r="L36" s="3140">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1"/>
      <c r="B37" s="1955" t="s">
        <v>2035</v>
      </c>
      <c r="C37" s="167">
        <f>ROUND(D5*C22*C23*C24*C28*F37,0)</f>
        <v>401</v>
      </c>
      <c r="D37" s="1940"/>
      <c r="E37" s="163">
        <f>ROUND(C37*D37/10000,0)</f>
        <v>0</v>
      </c>
      <c r="F37" s="163">
        <f>SUMIF(修正!A57:A68,G2,修正!B57:B68)</f>
        <v>0.5</v>
      </c>
      <c r="G37" s="163">
        <f>ROUND(IF(E2="工业",C37*$M$42,C37*$M$41),0)</f>
        <v>60</v>
      </c>
      <c r="H37" s="163">
        <f>D37</f>
        <v>0</v>
      </c>
      <c r="I37" s="163">
        <f>ROUND(G37*H37/10000,0)</f>
        <v>0</v>
      </c>
      <c r="J37" s="2752"/>
      <c r="K37" s="3059" t="s">
        <v>3261</v>
      </c>
      <c r="L37" s="1964">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2036</v>
      </c>
      <c r="C38" s="167">
        <f>ROUND(D5*C22*C23*C24*C28*F38,0)</f>
        <v>160</v>
      </c>
      <c r="D38" s="1940"/>
      <c r="E38" s="163">
        <f t="shared" ref="E38:E42" si="4">ROUND(C38*D38/10000,0)</f>
        <v>0</v>
      </c>
      <c r="F38" s="163">
        <f>SUMIF(修正!A57:A68,G2,修正!C57:C68)</f>
        <v>0.2</v>
      </c>
      <c r="G38" s="163">
        <f>ROUND(IF(E2="工业",C38*$M$42,C38*$M$41),0)</f>
        <v>24</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2"/>
      <c r="B39" s="1884" t="s">
        <v>3254</v>
      </c>
      <c r="C39" s="167">
        <f>ROUND(D5*C22*C23*C24*C28*F39,0)</f>
        <v>160</v>
      </c>
      <c r="D39" s="1940"/>
      <c r="E39" s="163">
        <f t="shared" si="4"/>
        <v>0</v>
      </c>
      <c r="F39" s="163">
        <f>SUMIF(修正!A57:A68,G2,修正!D57:D68)</f>
        <v>0.2</v>
      </c>
      <c r="G39" s="163">
        <f>ROUND(IF(E2="工业",C39*$M$42,C39*$M$41),0)</f>
        <v>24</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160</v>
      </c>
      <c r="D40" s="1940"/>
      <c r="E40" s="163">
        <f t="shared" si="4"/>
        <v>0</v>
      </c>
      <c r="F40" s="167">
        <f>SUMIF(修正!A57:A68,G2,修正!E57:E68)</f>
        <v>0.2</v>
      </c>
      <c r="G40" s="163">
        <f>ROUND(IF(E2="工业",C40*$M$42,C40*$M$41),0)</f>
        <v>24</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1998</v>
      </c>
      <c r="E44" s="1991">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1.0467</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t="str">
        <f>估价对象房地状况!G15</f>
        <v>较好</v>
      </c>
      <c r="C83" s="1887" t="s">
        <v>3393</v>
      </c>
      <c r="D83" s="1002">
        <f t="shared" ref="D83:D90" si="22">SUMIF($J$82:$N$82,C83,J83:N83)</f>
        <v>1.8700000000000001E-2</v>
      </c>
      <c r="E83" s="702">
        <f>ROUND(SUM(D83:D90),4)</f>
        <v>4.6699999999999998E-2</v>
      </c>
      <c r="F83" s="1675">
        <f>IF(E2="工业",SUMIF(L1:L12,G2,N1:N12),"——")</f>
        <v>0.14399999999999999</v>
      </c>
      <c r="G83" s="1000">
        <f>H83</f>
        <v>1.8700000000000001E-2</v>
      </c>
      <c r="H83" s="1003">
        <f t="shared" ref="H83:H90" si="23">IFERROR(ROUNDDOWN($F$83*I83/2,4),"——")</f>
        <v>1.8700000000000001E-2</v>
      </c>
      <c r="I83" s="3066">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14.25">
      <c r="A84" s="1970" t="s">
        <v>2052</v>
      </c>
      <c r="B84" s="1262" t="str">
        <f>估价对象房地状况!G16</f>
        <v>一般</v>
      </c>
      <c r="C84" s="1887" t="s">
        <v>3394</v>
      </c>
      <c r="D84" s="1002">
        <f t="shared" si="22"/>
        <v>0</v>
      </c>
      <c r="E84" s="705"/>
      <c r="F84" s="1675"/>
      <c r="G84" s="1000">
        <f t="shared" ref="G84:G90" si="27">H84</f>
        <v>2.1600000000000001E-2</v>
      </c>
      <c r="H84" s="1003">
        <f t="shared" si="23"/>
        <v>2.1600000000000001E-2</v>
      </c>
      <c r="I84" s="3066">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68" t="s">
        <v>3265</v>
      </c>
      <c r="B85" s="1262">
        <f>估价对象房地状况!G17</f>
        <v>0</v>
      </c>
      <c r="C85" s="1887" t="s">
        <v>3393</v>
      </c>
      <c r="D85" s="1002">
        <f t="shared" si="22"/>
        <v>7.1999999999999998E-3</v>
      </c>
      <c r="E85" s="705"/>
      <c r="F85" s="1675"/>
      <c r="G85" s="1000">
        <f t="shared" si="27"/>
        <v>7.1999999999999998E-3</v>
      </c>
      <c r="H85" s="1003">
        <f t="shared" si="23"/>
        <v>7.1999999999999998E-3</v>
      </c>
      <c r="I85" s="3066">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2066</v>
      </c>
      <c r="B86" s="1262">
        <f>估价对象房地状况!G22</f>
        <v>0</v>
      </c>
      <c r="C86" s="1887" t="s">
        <v>3394</v>
      </c>
      <c r="D86" s="1002">
        <f t="shared" si="22"/>
        <v>0</v>
      </c>
      <c r="E86" s="705"/>
      <c r="F86" s="1675"/>
      <c r="G86" s="1000">
        <f t="shared" si="27"/>
        <v>3.5999999999999999E-3</v>
      </c>
      <c r="H86" s="1003">
        <f t="shared" si="23"/>
        <v>3.5999999999999999E-3</v>
      </c>
      <c r="I86" s="3066">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4">
      <c r="A87" s="1970" t="s">
        <v>2058</v>
      </c>
      <c r="B87" s="1240" t="str">
        <f>估价对象房地状况!G19</f>
        <v>较差</v>
      </c>
      <c r="C87" s="1887" t="s">
        <v>3395</v>
      </c>
      <c r="D87" s="1002">
        <f t="shared" si="22"/>
        <v>-4.3E-3</v>
      </c>
      <c r="E87" s="705"/>
      <c r="F87" s="1675"/>
      <c r="G87" s="1000">
        <f t="shared" si="27"/>
        <v>4.3E-3</v>
      </c>
      <c r="H87" s="1003">
        <f t="shared" si="23"/>
        <v>4.3E-3</v>
      </c>
      <c r="I87" s="3066">
        <v>0.06</v>
      </c>
      <c r="J87" s="1001">
        <f t="shared" si="24"/>
        <v>8.6E-3</v>
      </c>
      <c r="K87" s="1001">
        <f t="shared" si="25"/>
        <v>4.3E-3</v>
      </c>
      <c r="L87" s="1001">
        <v>0</v>
      </c>
      <c r="M87" s="1001">
        <f t="shared" si="26"/>
        <v>-4.3E-3</v>
      </c>
      <c r="N87" s="1001">
        <f t="shared" si="26"/>
        <v>-8.6E-3</v>
      </c>
    </row>
    <row r="88" spans="1:37" ht="24">
      <c r="A88" s="1970" t="s">
        <v>2059</v>
      </c>
      <c r="B88" s="1240" t="str">
        <f>估价对象房地状况!G20</f>
        <v>七通</v>
      </c>
      <c r="C88" s="1887" t="s">
        <v>3396</v>
      </c>
      <c r="D88" s="1002">
        <f t="shared" si="22"/>
        <v>1.72E-2</v>
      </c>
      <c r="E88" s="705"/>
      <c r="F88" s="1675"/>
      <c r="G88" s="1000">
        <f t="shared" si="27"/>
        <v>8.6E-3</v>
      </c>
      <c r="H88" s="1003">
        <f t="shared" si="23"/>
        <v>8.6E-3</v>
      </c>
      <c r="I88" s="3066">
        <v>0.12</v>
      </c>
      <c r="J88" s="1001">
        <f t="shared" si="24"/>
        <v>1.72E-2</v>
      </c>
      <c r="K88" s="1001">
        <f t="shared" si="25"/>
        <v>8.6E-3</v>
      </c>
      <c r="L88" s="1001">
        <v>0</v>
      </c>
      <c r="M88" s="1001">
        <f t="shared" si="26"/>
        <v>-8.6E-3</v>
      </c>
      <c r="N88" s="1001">
        <f t="shared" si="26"/>
        <v>-1.72E-2</v>
      </c>
    </row>
    <row r="89" spans="1:37" ht="24">
      <c r="A89" s="1970" t="s">
        <v>2056</v>
      </c>
      <c r="B89" s="1975" t="s">
        <v>2070</v>
      </c>
      <c r="C89" s="1887" t="s">
        <v>3393</v>
      </c>
      <c r="D89" s="1002">
        <f t="shared" si="22"/>
        <v>4.3E-3</v>
      </c>
      <c r="E89" s="705"/>
      <c r="F89" s="1675"/>
      <c r="G89" s="1000">
        <f t="shared" si="27"/>
        <v>4.3E-3</v>
      </c>
      <c r="H89" s="1003">
        <f t="shared" si="23"/>
        <v>4.3E-3</v>
      </c>
      <c r="I89" s="3066">
        <v>0.06</v>
      </c>
      <c r="J89" s="1001">
        <f t="shared" si="24"/>
        <v>8.6E-3</v>
      </c>
      <c r="K89" s="1001">
        <f t="shared" si="25"/>
        <v>4.3E-3</v>
      </c>
      <c r="L89" s="1001">
        <v>0</v>
      </c>
      <c r="M89" s="1001">
        <f t="shared" si="26"/>
        <v>-4.3E-3</v>
      </c>
      <c r="N89" s="1001">
        <f t="shared" si="26"/>
        <v>-8.6E-3</v>
      </c>
    </row>
    <row r="90" spans="1:37" ht="15" thickBot="1">
      <c r="A90" s="1977" t="s">
        <v>2071</v>
      </c>
      <c r="B90" s="1982" t="str">
        <f>估价对象房地状况!G18</f>
        <v>较好</v>
      </c>
      <c r="C90" s="1887" t="s">
        <v>3393</v>
      </c>
      <c r="D90" s="1002">
        <f t="shared" si="22"/>
        <v>3.5999999999999999E-3</v>
      </c>
      <c r="E90" s="706"/>
      <c r="F90" s="1675"/>
      <c r="G90" s="1000">
        <f t="shared" si="27"/>
        <v>3.5999999999999999E-3</v>
      </c>
      <c r="H90" s="1003">
        <f t="shared" si="23"/>
        <v>3.5999999999999999E-3</v>
      </c>
      <c r="I90" s="3067">
        <v>0.05</v>
      </c>
      <c r="J90" s="1001">
        <f t="shared" si="24"/>
        <v>7.1999999999999998E-3</v>
      </c>
      <c r="K90" s="1001">
        <f t="shared" si="25"/>
        <v>3.5999999999999999E-3</v>
      </c>
      <c r="L90" s="1001">
        <v>0</v>
      </c>
      <c r="M90" s="1001">
        <f t="shared" si="26"/>
        <v>-3.5999999999999999E-3</v>
      </c>
      <c r="N90" s="1001">
        <f t="shared" si="26"/>
        <v>-7.1999999999999998E-3</v>
      </c>
    </row>
    <row r="91" spans="1:37" ht="15">
      <c r="A91" s="3076" t="s">
        <v>2603</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8">K93+$G93</f>
        <v>0</v>
      </c>
      <c r="K93" s="1912">
        <f t="shared" ref="K93:K101" si="29">$L93+$G93</f>
        <v>0</v>
      </c>
      <c r="L93" s="1912">
        <v>0</v>
      </c>
      <c r="M93" s="1912">
        <f t="shared" ref="M93:N101" si="30">L93-$G93</f>
        <v>0</v>
      </c>
      <c r="N93" s="1912">
        <f t="shared" si="30"/>
        <v>0</v>
      </c>
    </row>
    <row r="94" spans="1:37" ht="14.25">
      <c r="A94" s="3078" t="s">
        <v>3268</v>
      </c>
      <c r="B94" s="3069">
        <f>估价对象房地状况!C18</f>
        <v>0</v>
      </c>
      <c r="C94" s="1887"/>
      <c r="D94" s="2308">
        <f t="shared" ref="D94:D101" si="31">SUMIF($J$60:$N$60,C94,J94:N94)</f>
        <v>0</v>
      </c>
      <c r="E94" s="3082"/>
      <c r="F94" s="1675"/>
      <c r="G94" s="3072"/>
      <c r="H94" s="3117" t="str">
        <f>IFERROR(ROUNDDOWN($F$93*I94/2,4),"——")</f>
        <v>——</v>
      </c>
      <c r="I94" s="3066">
        <v>0.26</v>
      </c>
      <c r="J94" s="1912">
        <f t="shared" si="28"/>
        <v>0</v>
      </c>
      <c r="K94" s="1912">
        <f t="shared" si="29"/>
        <v>0</v>
      </c>
      <c r="L94" s="1912">
        <v>0</v>
      </c>
      <c r="M94" s="1912">
        <f t="shared" si="30"/>
        <v>0</v>
      </c>
      <c r="N94" s="1912">
        <f t="shared" si="30"/>
        <v>0</v>
      </c>
    </row>
    <row r="95" spans="1:37" ht="36">
      <c r="A95" s="3068" t="s">
        <v>3264</v>
      </c>
      <c r="B95" s="3069">
        <f>估价对象房地状况!C19</f>
        <v>0</v>
      </c>
      <c r="C95" s="1887"/>
      <c r="D95" s="2308">
        <f t="shared" si="31"/>
        <v>0</v>
      </c>
      <c r="E95" s="3082"/>
      <c r="F95" s="1675"/>
      <c r="G95" s="3072"/>
      <c r="H95" s="3117" t="str">
        <f t="shared" ref="H95:H101" si="32">IFERROR(ROUNDDOWN($F$93*I95/2,4),"——")</f>
        <v>——</v>
      </c>
      <c r="I95" s="3066">
        <v>0.11</v>
      </c>
      <c r="J95" s="1912">
        <f t="shared" si="28"/>
        <v>0</v>
      </c>
      <c r="K95" s="1912">
        <f t="shared" si="29"/>
        <v>0</v>
      </c>
      <c r="L95" s="1912">
        <v>0</v>
      </c>
      <c r="M95" s="1912">
        <f t="shared" si="30"/>
        <v>0</v>
      </c>
      <c r="N95" s="1912">
        <f t="shared" si="30"/>
        <v>0</v>
      </c>
    </row>
    <row r="96" spans="1:37" ht="36.75">
      <c r="A96" s="3078" t="s">
        <v>3269</v>
      </c>
      <c r="B96" s="3084" t="s">
        <v>3280</v>
      </c>
      <c r="C96" s="1887"/>
      <c r="D96" s="2308">
        <f t="shared" si="31"/>
        <v>0</v>
      </c>
      <c r="E96" s="3082"/>
      <c r="F96" s="1675"/>
      <c r="G96" s="3072"/>
      <c r="H96" s="3117" t="str">
        <f t="shared" si="32"/>
        <v>——</v>
      </c>
      <c r="I96" s="3066">
        <v>0.05</v>
      </c>
      <c r="J96" s="1912">
        <f t="shared" si="28"/>
        <v>0</v>
      </c>
      <c r="K96" s="1912">
        <f t="shared" si="29"/>
        <v>0</v>
      </c>
      <c r="L96" s="1912">
        <v>0</v>
      </c>
      <c r="M96" s="1912">
        <f t="shared" si="30"/>
        <v>0</v>
      </c>
      <c r="N96" s="1912">
        <f t="shared" si="30"/>
        <v>0</v>
      </c>
    </row>
    <row r="97" spans="1:14" ht="24">
      <c r="A97" s="3078" t="s">
        <v>3270</v>
      </c>
      <c r="B97" s="3069">
        <f>估价对象房地状况!C24</f>
        <v>0</v>
      </c>
      <c r="C97" s="1887"/>
      <c r="D97" s="2308">
        <f t="shared" si="31"/>
        <v>0</v>
      </c>
      <c r="E97" s="3082"/>
      <c r="F97" s="1675"/>
      <c r="G97" s="3072"/>
      <c r="H97" s="3117" t="str">
        <f t="shared" si="32"/>
        <v>——</v>
      </c>
      <c r="I97" s="3066">
        <v>0.05</v>
      </c>
      <c r="J97" s="1912">
        <f t="shared" si="28"/>
        <v>0</v>
      </c>
      <c r="K97" s="1912">
        <f t="shared" si="29"/>
        <v>0</v>
      </c>
      <c r="L97" s="1912">
        <v>0</v>
      </c>
      <c r="M97" s="1912">
        <f t="shared" si="30"/>
        <v>0</v>
      </c>
      <c r="N97" s="1912">
        <f t="shared" si="30"/>
        <v>0</v>
      </c>
    </row>
    <row r="98" spans="1:14" ht="24">
      <c r="A98" s="3078" t="s">
        <v>3271</v>
      </c>
      <c r="B98" s="3085" t="s">
        <v>3281</v>
      </c>
      <c r="C98" s="1887"/>
      <c r="D98" s="2308">
        <f t="shared" si="31"/>
        <v>0</v>
      </c>
      <c r="E98" s="3082"/>
      <c r="F98" s="1675"/>
      <c r="G98" s="3072"/>
      <c r="H98" s="3117" t="str">
        <f t="shared" si="32"/>
        <v>——</v>
      </c>
      <c r="I98" s="3066">
        <v>0.06</v>
      </c>
      <c r="J98" s="1912">
        <f t="shared" si="28"/>
        <v>0</v>
      </c>
      <c r="K98" s="1912">
        <f t="shared" si="29"/>
        <v>0</v>
      </c>
      <c r="L98" s="1912">
        <v>0</v>
      </c>
      <c r="M98" s="1912">
        <f t="shared" si="30"/>
        <v>0</v>
      </c>
      <c r="N98" s="1912">
        <f t="shared" si="30"/>
        <v>0</v>
      </c>
    </row>
    <row r="99" spans="1:14" ht="24">
      <c r="A99" s="3078" t="s">
        <v>3272</v>
      </c>
      <c r="B99" s="3069">
        <f>估价对象房地状况!C21</f>
        <v>0</v>
      </c>
      <c r="C99" s="1887"/>
      <c r="D99" s="2308">
        <f t="shared" si="31"/>
        <v>0</v>
      </c>
      <c r="E99" s="3082"/>
      <c r="F99" s="1675"/>
      <c r="G99" s="3072"/>
      <c r="H99" s="3117" t="str">
        <f t="shared" si="32"/>
        <v>——</v>
      </c>
      <c r="I99" s="3066">
        <v>0.06</v>
      </c>
      <c r="J99" s="1912">
        <f t="shared" si="28"/>
        <v>0</v>
      </c>
      <c r="K99" s="1912">
        <f t="shared" si="29"/>
        <v>0</v>
      </c>
      <c r="L99" s="1912">
        <v>0</v>
      </c>
      <c r="M99" s="1912">
        <f t="shared" si="30"/>
        <v>0</v>
      </c>
      <c r="N99" s="1912">
        <f t="shared" si="30"/>
        <v>0</v>
      </c>
    </row>
    <row r="100" spans="1:14" ht="24">
      <c r="A100" s="3078" t="s">
        <v>3273</v>
      </c>
      <c r="B100" s="3069">
        <f>估价对象房地状况!C22</f>
        <v>0</v>
      </c>
      <c r="C100" s="1887"/>
      <c r="D100" s="2308">
        <f t="shared" si="31"/>
        <v>0</v>
      </c>
      <c r="E100" s="3082"/>
      <c r="F100" s="1675"/>
      <c r="G100" s="3072"/>
      <c r="H100" s="3117" t="str">
        <f t="shared" si="32"/>
        <v>——</v>
      </c>
      <c r="I100" s="3066">
        <v>0.09</v>
      </c>
      <c r="J100" s="1912">
        <f t="shared" si="28"/>
        <v>0</v>
      </c>
      <c r="K100" s="1912">
        <f t="shared" si="29"/>
        <v>0</v>
      </c>
      <c r="L100" s="1912">
        <v>0</v>
      </c>
      <c r="M100" s="1912">
        <f t="shared" si="30"/>
        <v>0</v>
      </c>
      <c r="N100" s="1912">
        <f t="shared" si="30"/>
        <v>0</v>
      </c>
    </row>
    <row r="101" spans="1:14" ht="24.75" thickBot="1">
      <c r="A101" s="3079" t="s">
        <v>3274</v>
      </c>
      <c r="B101" s="3086">
        <f>估价对象房地状况!C20</f>
        <v>0</v>
      </c>
      <c r="C101" s="1887"/>
      <c r="D101" s="2308">
        <f t="shared" si="31"/>
        <v>0</v>
      </c>
      <c r="E101" s="3083"/>
      <c r="F101" s="1675"/>
      <c r="G101" s="3072"/>
      <c r="H101" s="3117" t="str">
        <f t="shared" si="32"/>
        <v>——</v>
      </c>
      <c r="I101" s="3067">
        <v>7.0000000000000007E-2</v>
      </c>
      <c r="J101" s="1912">
        <f t="shared" si="28"/>
        <v>0</v>
      </c>
      <c r="K101" s="1912">
        <f t="shared" si="29"/>
        <v>0</v>
      </c>
      <c r="L101" s="1912">
        <v>0</v>
      </c>
      <c r="M101" s="1912">
        <f t="shared" si="30"/>
        <v>0</v>
      </c>
      <c r="N101" s="1912">
        <f t="shared" si="30"/>
        <v>0</v>
      </c>
    </row>
    <row r="103" spans="1:14">
      <c r="A103" s="3459" t="s">
        <v>3289</v>
      </c>
      <c r="B103" s="3459"/>
      <c r="C103" s="3459"/>
      <c r="D103" s="3459"/>
      <c r="E103" s="3459"/>
      <c r="F103" s="3459"/>
      <c r="G103" s="3459"/>
      <c r="H103" s="3459"/>
      <c r="I103" s="3459"/>
      <c r="J103" s="3459"/>
      <c r="K103" s="1667"/>
      <c r="L103" s="1667"/>
      <c r="M103" s="1667"/>
      <c r="N103" s="1667"/>
    </row>
    <row r="104" spans="1:14">
      <c r="A104" s="3460" t="s">
        <v>3290</v>
      </c>
      <c r="B104" s="3460" t="s">
        <v>3291</v>
      </c>
      <c r="C104" s="3088" t="s">
        <v>3292</v>
      </c>
      <c r="D104" s="3089"/>
      <c r="E104" s="3089"/>
      <c r="F104" s="3089"/>
      <c r="G104" s="3089"/>
      <c r="H104" s="3089"/>
      <c r="I104" s="3089"/>
      <c r="J104" s="3090"/>
      <c r="K104" s="3091"/>
      <c r="L104" s="3091"/>
      <c r="M104" s="3091"/>
      <c r="N104" s="3091"/>
    </row>
    <row r="105" spans="1:14">
      <c r="A105" s="3460"/>
      <c r="B105" s="3460"/>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46"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7"/>
      <c r="B111" s="3092" t="s">
        <v>3263</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448"/>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449" t="s">
        <v>3306</v>
      </c>
      <c r="B113" s="3449"/>
      <c r="C113" s="3449"/>
      <c r="D113" s="3449"/>
      <c r="E113" s="3449"/>
      <c r="F113" s="3449"/>
      <c r="G113" s="3449"/>
      <c r="H113" s="3449"/>
      <c r="I113" s="3449"/>
      <c r="J113" s="344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1.2</v>
      </c>
      <c r="C116" s="3097" t="s">
        <v>3308</v>
      </c>
      <c r="D116" s="3098">
        <f>SUMPRODUCT((A118:A122=F116)*(B117:M117=H116)*B118:M122)</f>
        <v>0.56769999999999998</v>
      </c>
      <c r="E116" s="162" t="s">
        <v>3309</v>
      </c>
      <c r="F116" s="3099" t="str">
        <f>E2</f>
        <v>工业</v>
      </c>
      <c r="G116" s="162" t="s">
        <v>3310</v>
      </c>
      <c r="H116" s="3099" t="str">
        <f>G2</f>
        <v>十级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0.98360000000000003</v>
      </c>
      <c r="C118" s="3087">
        <f>B118</f>
        <v>0.98360000000000003</v>
      </c>
      <c r="D118" s="3087">
        <f>ROUND(0.949-0.014*B116,4)</f>
        <v>0.93220000000000003</v>
      </c>
      <c r="E118" s="3087">
        <f>D118</f>
        <v>0.93220000000000003</v>
      </c>
      <c r="F118" s="3087">
        <f>E118</f>
        <v>0.93220000000000003</v>
      </c>
      <c r="G118" s="3087">
        <f>F118</f>
        <v>0.93220000000000003</v>
      </c>
      <c r="H118" s="3087">
        <f>G118</f>
        <v>0.93220000000000003</v>
      </c>
      <c r="I118" s="3087">
        <f>ROUND(0.8486-0.018*B116,4)</f>
        <v>0.82699999999999996</v>
      </c>
      <c r="J118" s="3087">
        <f t="shared" ref="J118:M122" si="36">I118</f>
        <v>0.82699999999999996</v>
      </c>
      <c r="K118" s="3087">
        <f t="shared" si="36"/>
        <v>0.82699999999999996</v>
      </c>
      <c r="L118" s="3087">
        <f t="shared" si="36"/>
        <v>0.82699999999999996</v>
      </c>
      <c r="M118" s="3107">
        <f t="shared" si="36"/>
        <v>0.82699999999999996</v>
      </c>
      <c r="N118" s="3095"/>
    </row>
    <row r="119" spans="1:14">
      <c r="A119" s="3055" t="s">
        <v>3324</v>
      </c>
      <c r="B119" s="3087">
        <f>ROUND(0.993-0.0112*B116,4)</f>
        <v>0.97960000000000003</v>
      </c>
      <c r="C119" s="3087">
        <f>B119</f>
        <v>0.97960000000000003</v>
      </c>
      <c r="D119" s="3087">
        <f>ROUND(0.9415-0.0142*B116,4)</f>
        <v>0.92449999999999999</v>
      </c>
      <c r="E119" s="3087">
        <f t="shared" ref="E119:H120" si="37">D119</f>
        <v>0.92449999999999999</v>
      </c>
      <c r="F119" s="3087">
        <f t="shared" si="37"/>
        <v>0.92449999999999999</v>
      </c>
      <c r="G119" s="3087">
        <f t="shared" si="37"/>
        <v>0.92449999999999999</v>
      </c>
      <c r="H119" s="3087">
        <f t="shared" si="37"/>
        <v>0.92449999999999999</v>
      </c>
      <c r="I119" s="3087">
        <f>ROUND(0.838-0.0182*B116,4)</f>
        <v>0.81620000000000004</v>
      </c>
      <c r="J119" s="3087">
        <f t="shared" si="36"/>
        <v>0.81620000000000004</v>
      </c>
      <c r="K119" s="3087">
        <f t="shared" si="36"/>
        <v>0.81620000000000004</v>
      </c>
      <c r="L119" s="3087">
        <f t="shared" si="36"/>
        <v>0.81620000000000004</v>
      </c>
      <c r="M119" s="3107">
        <f t="shared" si="36"/>
        <v>0.81620000000000004</v>
      </c>
      <c r="N119" s="3095"/>
    </row>
    <row r="120" spans="1:14">
      <c r="A120" s="3055" t="s">
        <v>3325</v>
      </c>
      <c r="B120" s="3087">
        <f>ROUND(0.9448-0.0115*B116,4)</f>
        <v>0.93100000000000005</v>
      </c>
      <c r="C120" s="3087">
        <f>B120</f>
        <v>0.93100000000000005</v>
      </c>
      <c r="D120" s="3087">
        <f>ROUND(0.937-0.0145*B116,4)</f>
        <v>0.91959999999999997</v>
      </c>
      <c r="E120" s="3087">
        <f t="shared" si="37"/>
        <v>0.91959999999999997</v>
      </c>
      <c r="F120" s="3087">
        <f t="shared" si="37"/>
        <v>0.91959999999999997</v>
      </c>
      <c r="G120" s="3087">
        <f t="shared" si="37"/>
        <v>0.91959999999999997</v>
      </c>
      <c r="H120" s="3087">
        <f t="shared" si="37"/>
        <v>0.91959999999999997</v>
      </c>
      <c r="I120" s="3087">
        <f>ROUND(0.7965-0.0185*B116,4)</f>
        <v>0.77429999999999999</v>
      </c>
      <c r="J120" s="3087">
        <f t="shared" si="36"/>
        <v>0.77429999999999999</v>
      </c>
      <c r="K120" s="3087">
        <f t="shared" si="36"/>
        <v>0.77429999999999999</v>
      </c>
      <c r="L120" s="3087">
        <f t="shared" si="36"/>
        <v>0.77429999999999999</v>
      </c>
      <c r="M120" s="3107">
        <f t="shared" si="36"/>
        <v>0.77429999999999999</v>
      </c>
      <c r="N120" s="3095"/>
    </row>
    <row r="121" spans="1:14" ht="13.5" thickBot="1">
      <c r="A121" s="3108" t="s">
        <v>3326</v>
      </c>
      <c r="B121" s="3109">
        <f>ROUND(0.7836-0.012*B116,4)</f>
        <v>0.76919999999999999</v>
      </c>
      <c r="C121" s="3109">
        <f>B121</f>
        <v>0.76919999999999999</v>
      </c>
      <c r="D121" s="3109">
        <f>ROUND(0.753-0.015*B116,4)</f>
        <v>0.73499999999999999</v>
      </c>
      <c r="E121" s="3109">
        <f>D121</f>
        <v>0.73499999999999999</v>
      </c>
      <c r="F121" s="3109">
        <f>E121</f>
        <v>0.73499999999999999</v>
      </c>
      <c r="G121" s="3109">
        <f>ROUND(0.6612-0.018*B116,4)</f>
        <v>0.63959999999999995</v>
      </c>
      <c r="H121" s="3109">
        <f>G121</f>
        <v>0.63959999999999995</v>
      </c>
      <c r="I121" s="3109">
        <f>ROUND(0.5905-0.019*B116,4)</f>
        <v>0.56769999999999998</v>
      </c>
      <c r="J121" s="3109">
        <f t="shared" si="36"/>
        <v>0.56769999999999998</v>
      </c>
      <c r="K121" s="3109">
        <f t="shared" si="36"/>
        <v>0.56769999999999998</v>
      </c>
      <c r="L121" s="3109">
        <f t="shared" si="36"/>
        <v>0.56769999999999998</v>
      </c>
      <c r="M121" s="3110">
        <f t="shared" si="36"/>
        <v>0.56769999999999998</v>
      </c>
      <c r="N121" s="3095"/>
    </row>
    <row r="122" spans="1:14">
      <c r="A122" s="3111" t="s">
        <v>2603</v>
      </c>
      <c r="B122" s="3087">
        <f>ROUND(0.9404-0.0106*B116,4)</f>
        <v>0.92769999999999997</v>
      </c>
      <c r="C122" s="3087">
        <f>B122</f>
        <v>0.92769999999999997</v>
      </c>
      <c r="D122" s="3087">
        <f>ROUND(0.8955-0.0135*B116,4)</f>
        <v>0.87929999999999997</v>
      </c>
      <c r="E122" s="3087">
        <f t="shared" ref="E122:H122" si="38">D122</f>
        <v>0.87929999999999997</v>
      </c>
      <c r="F122" s="3087">
        <f t="shared" si="38"/>
        <v>0.87929999999999997</v>
      </c>
      <c r="G122" s="3087">
        <f t="shared" si="38"/>
        <v>0.87929999999999997</v>
      </c>
      <c r="H122" s="3087">
        <f t="shared" si="38"/>
        <v>0.87929999999999997</v>
      </c>
      <c r="I122" s="3087">
        <f>ROUND(0.7632-0.0166*B116,4)</f>
        <v>0.74329999999999996</v>
      </c>
      <c r="J122" s="3087">
        <f t="shared" si="36"/>
        <v>0.74329999999999996</v>
      </c>
      <c r="K122" s="3087">
        <f t="shared" si="36"/>
        <v>0.74329999999999996</v>
      </c>
      <c r="L122" s="3087">
        <f t="shared" si="36"/>
        <v>0.74329999999999996</v>
      </c>
      <c r="M122" s="3107">
        <f t="shared" si="36"/>
        <v>0.74329999999999996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68" t="s">
        <v>2083</v>
      </c>
      <c r="D1" s="3469"/>
      <c r="E1" s="3469"/>
      <c r="F1" s="3469"/>
      <c r="G1" s="3469"/>
      <c r="H1" s="3469"/>
      <c r="I1" s="3469"/>
      <c r="J1" s="3469"/>
      <c r="K1" s="3469"/>
      <c r="L1" s="3469"/>
      <c r="M1" s="3469"/>
      <c r="N1" s="3469"/>
      <c r="O1" s="3469"/>
      <c r="P1" s="3469"/>
      <c r="Q1" s="3469"/>
      <c r="R1" s="3469"/>
      <c r="S1" s="3470"/>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2"/>
      <c r="G1" s="2542"/>
      <c r="H1" s="2542"/>
      <c r="I1" s="2542"/>
      <c r="J1" s="2542"/>
      <c r="K1" s="2542"/>
      <c r="L1" s="2542"/>
      <c r="M1" s="2542"/>
      <c r="N1" s="2542"/>
      <c r="O1" s="2542"/>
      <c r="P1" s="2542"/>
    </row>
    <row r="2" spans="1:16" ht="15.75">
      <c r="A2" s="1984" t="s">
        <v>2072</v>
      </c>
      <c r="B2" s="2386">
        <f ca="1">SUMIF(B6:B13,"&lt;&gt;#ref!",B6:B13)</f>
        <v>0</v>
      </c>
      <c r="C2" s="1984" t="s">
        <v>2073</v>
      </c>
      <c r="D2" s="1984" t="s">
        <v>2074</v>
      </c>
      <c r="E2" s="2396">
        <f ca="1">SUMIF(E6:E13,"&lt;&gt;#ref!",E6:E13)</f>
        <v>0</v>
      </c>
      <c r="F2" s="2542"/>
      <c r="G2" s="2542"/>
      <c r="H2" s="2542"/>
      <c r="I2" s="2542"/>
      <c r="J2" s="2542"/>
      <c r="K2" s="2542"/>
      <c r="L2" s="2542"/>
      <c r="M2" s="2542"/>
      <c r="N2" s="2542"/>
      <c r="O2" s="2542"/>
      <c r="P2" s="2542"/>
    </row>
    <row r="3" spans="1:16" ht="15.75">
      <c r="A3" s="1984" t="s">
        <v>2075</v>
      </c>
      <c r="B3" s="2386" t="e">
        <f ca="1">ROUND(B2*10000/E2,0)</f>
        <v>#DIV/0!</v>
      </c>
      <c r="C3" s="1984" t="s">
        <v>2081</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2076</v>
      </c>
      <c r="B5" s="2394" t="s">
        <v>2077</v>
      </c>
      <c r="C5" s="1985"/>
      <c r="D5" s="2542"/>
      <c r="E5" s="2395" t="s">
        <v>2078</v>
      </c>
      <c r="F5" s="2542"/>
      <c r="G5" s="2542"/>
      <c r="H5" s="2542"/>
      <c r="I5" s="2542"/>
      <c r="J5" s="2542"/>
      <c r="K5" s="2542"/>
      <c r="L5" s="2542"/>
      <c r="M5" s="2542"/>
      <c r="N5" s="2542"/>
      <c r="O5" s="2542"/>
      <c r="P5" s="2542"/>
    </row>
    <row r="6" spans="1:16" ht="15.75">
      <c r="A6" s="2393" t="s">
        <v>2079</v>
      </c>
      <c r="B6" s="2386">
        <f ca="1">SUMIF(INDIRECT("'"&amp;A6&amp;"'"&amp;"!A:A"),"总价",INDIRECT("'"&amp;A6&amp;"'"&amp;"!B:B"))</f>
        <v>0</v>
      </c>
      <c r="C6" s="1984" t="s">
        <v>2073</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2073</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2073</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2073</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2073</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2073</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78" t="s">
        <v>2598</v>
      </c>
      <c r="B20" s="3471" t="s">
        <v>2619</v>
      </c>
      <c r="C20" s="2840" t="s">
        <v>2430</v>
      </c>
      <c r="D20" s="2841"/>
      <c r="E20" s="2842">
        <v>1</v>
      </c>
      <c r="F20" s="2843" t="s">
        <v>2431</v>
      </c>
      <c r="G20" s="2843"/>
    </row>
    <row r="21" spans="1:13" ht="19.5" customHeight="1">
      <c r="A21" s="3479"/>
      <c r="B21" s="3472"/>
      <c r="C21" s="2844" t="s">
        <v>2432</v>
      </c>
      <c r="D21" s="2845"/>
      <c r="E21" s="2846">
        <v>1</v>
      </c>
      <c r="F21" s="2843" t="s">
        <v>2433</v>
      </c>
      <c r="G21" s="2843"/>
    </row>
    <row r="22" spans="1:13" ht="19.5" customHeight="1">
      <c r="A22" s="3479"/>
      <c r="B22" s="3472"/>
      <c r="C22" s="2844" t="s">
        <v>2434</v>
      </c>
      <c r="D22" s="2845"/>
      <c r="E22" s="2846">
        <v>0.9</v>
      </c>
      <c r="F22" s="2843" t="s">
        <v>2435</v>
      </c>
      <c r="G22" s="2843"/>
    </row>
    <row r="23" spans="1:13" ht="19.5" customHeight="1">
      <c r="A23" s="3479"/>
      <c r="B23" s="3472"/>
      <c r="C23" s="2844" t="s">
        <v>2436</v>
      </c>
      <c r="D23" s="2845"/>
      <c r="E23" s="2846">
        <v>0.9</v>
      </c>
      <c r="F23" s="2843" t="s">
        <v>2437</v>
      </c>
      <c r="G23" s="2843"/>
    </row>
    <row r="24" spans="1:13" ht="19.5" customHeight="1">
      <c r="A24" s="3479"/>
      <c r="B24" s="3472"/>
      <c r="C24" s="2844" t="s">
        <v>2438</v>
      </c>
      <c r="D24" s="2845"/>
      <c r="E24" s="2846">
        <v>0.8</v>
      </c>
      <c r="F24" s="2843" t="s">
        <v>2439</v>
      </c>
      <c r="G24" s="2843"/>
    </row>
    <row r="25" spans="1:13" ht="19.5" customHeight="1" thickBot="1">
      <c r="A25" s="3480"/>
      <c r="B25" s="3473"/>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74" t="s">
        <v>2622</v>
      </c>
      <c r="B27" s="3471" t="s">
        <v>2603</v>
      </c>
      <c r="C27" s="2840" t="s">
        <v>2443</v>
      </c>
      <c r="D27" s="2841"/>
      <c r="E27" s="2842">
        <v>1</v>
      </c>
      <c r="F27" s="2843" t="s">
        <v>2444</v>
      </c>
      <c r="G27" s="2843"/>
    </row>
    <row r="28" spans="1:13" ht="19.5" customHeight="1">
      <c r="A28" s="3475"/>
      <c r="B28" s="3472"/>
      <c r="C28" s="2844" t="s">
        <v>2445</v>
      </c>
      <c r="D28" s="2845"/>
      <c r="E28" s="2846">
        <v>1</v>
      </c>
      <c r="F28" s="2843" t="s">
        <v>2446</v>
      </c>
      <c r="G28" s="2843"/>
    </row>
    <row r="29" spans="1:13" ht="19.5" customHeight="1">
      <c r="A29" s="3475"/>
      <c r="B29" s="3472"/>
      <c r="C29" s="2844" t="s">
        <v>2447</v>
      </c>
      <c r="D29" s="2845"/>
      <c r="E29" s="2846">
        <v>0.8</v>
      </c>
      <c r="F29" s="2843" t="s">
        <v>2448</v>
      </c>
      <c r="G29" s="2843"/>
    </row>
    <row r="30" spans="1:13" ht="19.5" customHeight="1">
      <c r="A30" s="3475"/>
      <c r="B30" s="3472"/>
      <c r="C30" s="2844" t="s">
        <v>2449</v>
      </c>
      <c r="D30" s="2845"/>
      <c r="E30" s="2846">
        <v>0.8</v>
      </c>
      <c r="F30" s="2843" t="s">
        <v>2450</v>
      </c>
      <c r="G30" s="2843"/>
    </row>
    <row r="31" spans="1:13" ht="19.5" customHeight="1">
      <c r="A31" s="3475"/>
      <c r="B31" s="3472"/>
      <c r="C31" s="2844" t="s">
        <v>2451</v>
      </c>
      <c r="D31" s="2845"/>
      <c r="E31" s="2846">
        <v>0.8</v>
      </c>
      <c r="F31" s="2843" t="s">
        <v>2452</v>
      </c>
      <c r="G31" s="2843"/>
    </row>
    <row r="32" spans="1:13" ht="19.5" customHeight="1">
      <c r="A32" s="3475"/>
      <c r="B32" s="3472"/>
      <c r="C32" s="2844" t="s">
        <v>2453</v>
      </c>
      <c r="D32" s="2845"/>
      <c r="E32" s="2846">
        <v>0.7</v>
      </c>
      <c r="F32" s="2843" t="s">
        <v>2454</v>
      </c>
      <c r="G32" s="2843"/>
    </row>
    <row r="33" spans="1:7" ht="19.5" customHeight="1">
      <c r="A33" s="3475"/>
      <c r="B33" s="3472"/>
      <c r="C33" s="2844" t="s">
        <v>2455</v>
      </c>
      <c r="D33" s="2845"/>
      <c r="E33" s="2846">
        <v>0.8</v>
      </c>
      <c r="F33" s="2843" t="s">
        <v>2456</v>
      </c>
      <c r="G33" s="2843"/>
    </row>
    <row r="34" spans="1:7" ht="19.5" customHeight="1">
      <c r="A34" s="3475"/>
      <c r="B34" s="3472"/>
      <c r="C34" s="2844" t="s">
        <v>2457</v>
      </c>
      <c r="D34" s="2845"/>
      <c r="E34" s="2846">
        <v>0.6</v>
      </c>
      <c r="F34" s="2843" t="s">
        <v>2458</v>
      </c>
      <c r="G34" s="2843"/>
    </row>
    <row r="35" spans="1:7" ht="19.5" customHeight="1">
      <c r="A35" s="3475"/>
      <c r="B35" s="3472"/>
      <c r="C35" s="2844" t="s">
        <v>2459</v>
      </c>
      <c r="D35" s="2845"/>
      <c r="E35" s="2846">
        <v>0.2</v>
      </c>
      <c r="F35" s="2843" t="s">
        <v>2460</v>
      </c>
      <c r="G35" s="2843"/>
    </row>
    <row r="36" spans="1:7" ht="19.5" customHeight="1">
      <c r="A36" s="3475"/>
      <c r="B36" s="3472"/>
      <c r="C36" s="2844" t="s">
        <v>2461</v>
      </c>
      <c r="D36" s="2845"/>
      <c r="E36" s="2846">
        <v>0.2</v>
      </c>
      <c r="F36" s="2843" t="s">
        <v>2462</v>
      </c>
      <c r="G36" s="2843"/>
    </row>
    <row r="37" spans="1:7" ht="19.5" customHeight="1">
      <c r="A37" s="3475"/>
      <c r="B37" s="3477" t="s">
        <v>2623</v>
      </c>
      <c r="C37" s="2844" t="s">
        <v>2463</v>
      </c>
      <c r="D37" s="2845"/>
      <c r="E37" s="2846">
        <v>0.6</v>
      </c>
      <c r="F37" s="2843" t="s">
        <v>2464</v>
      </c>
      <c r="G37" s="2843"/>
    </row>
    <row r="38" spans="1:7" ht="19.5" customHeight="1">
      <c r="A38" s="3475"/>
      <c r="B38" s="3472"/>
      <c r="C38" s="2844" t="s">
        <v>2465</v>
      </c>
      <c r="D38" s="2845"/>
      <c r="E38" s="2846">
        <v>0.6</v>
      </c>
      <c r="F38" s="2843" t="s">
        <v>2466</v>
      </c>
      <c r="G38" s="2843"/>
    </row>
    <row r="39" spans="1:7" ht="19.5" customHeight="1" thickBot="1">
      <c r="A39" s="3476"/>
      <c r="B39" s="3473"/>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78" t="s">
        <v>2601</v>
      </c>
      <c r="B41" s="3471" t="s">
        <v>2625</v>
      </c>
      <c r="C41" s="2840" t="s">
        <v>2470</v>
      </c>
      <c r="D41" s="2841"/>
      <c r="E41" s="2842">
        <v>1</v>
      </c>
      <c r="F41" s="2843" t="s">
        <v>2471</v>
      </c>
      <c r="G41" s="2843"/>
    </row>
    <row r="42" spans="1:7" ht="19.5" customHeight="1">
      <c r="A42" s="3479"/>
      <c r="B42" s="3472"/>
      <c r="C42" s="2844" t="s">
        <v>2472</v>
      </c>
      <c r="D42" s="2845"/>
      <c r="E42" s="2846">
        <v>1</v>
      </c>
      <c r="F42" s="2843" t="s">
        <v>2473</v>
      </c>
      <c r="G42" s="2843"/>
    </row>
    <row r="43" spans="1:7" ht="19.5" customHeight="1">
      <c r="A43" s="3479"/>
      <c r="B43" s="3481"/>
      <c r="C43" s="2844" t="s">
        <v>2474</v>
      </c>
      <c r="D43" s="2845"/>
      <c r="E43" s="2846">
        <v>1.5</v>
      </c>
      <c r="F43" s="2843" t="s">
        <v>2475</v>
      </c>
      <c r="G43" s="2843"/>
    </row>
    <row r="44" spans="1:7" ht="19.5" customHeight="1">
      <c r="A44" s="3479"/>
      <c r="B44" s="2855" t="s">
        <v>2626</v>
      </c>
      <c r="C44" s="2844" t="s">
        <v>2627</v>
      </c>
      <c r="D44" s="2845"/>
      <c r="E44" s="2846">
        <v>2</v>
      </c>
      <c r="F44" s="2843" t="s">
        <v>2476</v>
      </c>
      <c r="G44" s="2843"/>
    </row>
    <row r="45" spans="1:7" ht="19.5" customHeight="1">
      <c r="A45" s="3479"/>
      <c r="B45" s="3477" t="s">
        <v>2628</v>
      </c>
      <c r="C45" s="2844" t="s">
        <v>2477</v>
      </c>
      <c r="D45" s="2845"/>
      <c r="E45" s="2846">
        <v>1</v>
      </c>
      <c r="F45" s="2843" t="s">
        <v>2478</v>
      </c>
      <c r="G45" s="2843"/>
    </row>
    <row r="46" spans="1:7" ht="19.5" customHeight="1">
      <c r="A46" s="3479"/>
      <c r="B46" s="3472"/>
      <c r="C46" s="2844" t="s">
        <v>2479</v>
      </c>
      <c r="D46" s="2845"/>
      <c r="E46" s="2846">
        <v>1</v>
      </c>
      <c r="F46" s="2843" t="s">
        <v>2480</v>
      </c>
      <c r="G46" s="2843"/>
    </row>
    <row r="47" spans="1:7" ht="19.5" customHeight="1">
      <c r="A47" s="3479"/>
      <c r="B47" s="3472"/>
      <c r="C47" s="2844" t="s">
        <v>2481</v>
      </c>
      <c r="D47" s="2845"/>
      <c r="E47" s="2846">
        <v>1</v>
      </c>
      <c r="F47" s="2843" t="s">
        <v>2482</v>
      </c>
      <c r="G47" s="2843"/>
    </row>
    <row r="48" spans="1:7" ht="19.5" customHeight="1">
      <c r="A48" s="3479"/>
      <c r="B48" s="3472"/>
      <c r="C48" s="2844" t="s">
        <v>2483</v>
      </c>
      <c r="D48" s="2845"/>
      <c r="E48" s="2846">
        <v>1</v>
      </c>
      <c r="F48" s="2843" t="s">
        <v>2484</v>
      </c>
      <c r="G48" s="2843"/>
    </row>
    <row r="49" spans="1:7" ht="19.5" customHeight="1">
      <c r="A49" s="3479"/>
      <c r="B49" s="3472"/>
      <c r="C49" s="2844" t="s">
        <v>2485</v>
      </c>
      <c r="D49" s="2845"/>
      <c r="E49" s="2846">
        <v>1</v>
      </c>
      <c r="F49" s="2843" t="s">
        <v>2486</v>
      </c>
      <c r="G49" s="2843"/>
    </row>
    <row r="50" spans="1:7" ht="19.5" customHeight="1">
      <c r="A50" s="3479"/>
      <c r="B50" s="3472"/>
      <c r="C50" s="2844" t="s">
        <v>2487</v>
      </c>
      <c r="D50" s="2845"/>
      <c r="E50" s="2846">
        <v>1</v>
      </c>
      <c r="F50" s="2843" t="s">
        <v>2488</v>
      </c>
      <c r="G50" s="2843"/>
    </row>
    <row r="51" spans="1:7" ht="19.5" customHeight="1" thickBot="1">
      <c r="A51" s="3480"/>
      <c r="B51" s="3473"/>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477" t="s">
        <v>2642</v>
      </c>
      <c r="C73" s="2829" t="s">
        <v>2643</v>
      </c>
      <c r="D73" s="2829" t="s">
        <v>2644</v>
      </c>
      <c r="E73" s="2855">
        <v>0.2</v>
      </c>
      <c r="F73" s="2855">
        <v>25</v>
      </c>
    </row>
    <row r="74" spans="1:7" ht="24">
      <c r="A74" s="2855">
        <v>2</v>
      </c>
      <c r="B74" s="3472"/>
      <c r="C74" s="2829" t="s">
        <v>2645</v>
      </c>
      <c r="D74" s="2829" t="s">
        <v>2646</v>
      </c>
      <c r="E74" s="2855">
        <v>0.2</v>
      </c>
      <c r="F74" s="2855">
        <v>25</v>
      </c>
    </row>
    <row r="75" spans="1:7" ht="24">
      <c r="A75" s="2855">
        <v>3</v>
      </c>
      <c r="B75" s="3472"/>
      <c r="C75" s="2829" t="s">
        <v>2647</v>
      </c>
      <c r="D75" s="2829" t="s">
        <v>2648</v>
      </c>
      <c r="E75" s="2855">
        <v>0.2</v>
      </c>
      <c r="F75" s="2855">
        <v>25</v>
      </c>
    </row>
    <row r="76" spans="1:7" ht="13.5">
      <c r="A76" s="2855">
        <v>4</v>
      </c>
      <c r="B76" s="3472"/>
      <c r="C76" s="2829" t="s">
        <v>2649</v>
      </c>
      <c r="D76" s="2829" t="s">
        <v>2650</v>
      </c>
      <c r="E76" s="2855">
        <v>0.15</v>
      </c>
      <c r="F76" s="2855">
        <v>20</v>
      </c>
    </row>
    <row r="77" spans="1:7" ht="24">
      <c r="A77" s="2855">
        <v>5</v>
      </c>
      <c r="B77" s="3472"/>
      <c r="C77" s="2829" t="s">
        <v>2651</v>
      </c>
      <c r="D77" s="2829" t="s">
        <v>2652</v>
      </c>
      <c r="E77" s="2855">
        <v>0.15</v>
      </c>
      <c r="F77" s="2855">
        <v>20</v>
      </c>
    </row>
    <row r="78" spans="1:7" ht="24">
      <c r="A78" s="2855">
        <v>6</v>
      </c>
      <c r="B78" s="3472"/>
      <c r="C78" s="2829" t="s">
        <v>2653</v>
      </c>
      <c r="D78" s="2829" t="s">
        <v>2654</v>
      </c>
      <c r="E78" s="2855">
        <v>0.15</v>
      </c>
      <c r="F78" s="2855">
        <v>20</v>
      </c>
    </row>
    <row r="79" spans="1:7" ht="24">
      <c r="A79" s="2855">
        <v>7</v>
      </c>
      <c r="B79" s="3472"/>
      <c r="C79" s="2829" t="s">
        <v>2655</v>
      </c>
      <c r="D79" s="2829" t="s">
        <v>2656</v>
      </c>
      <c r="E79" s="2855">
        <v>0.15</v>
      </c>
      <c r="F79" s="2855">
        <v>20</v>
      </c>
    </row>
    <row r="80" spans="1:7" ht="24">
      <c r="A80" s="2855">
        <v>8</v>
      </c>
      <c r="B80" s="3472"/>
      <c r="C80" s="2829" t="s">
        <v>2657</v>
      </c>
      <c r="D80" s="2829" t="s">
        <v>2658</v>
      </c>
      <c r="E80" s="2855">
        <v>0.1</v>
      </c>
      <c r="F80" s="2855">
        <v>15</v>
      </c>
    </row>
    <row r="81" spans="1:6" ht="24">
      <c r="A81" s="2855">
        <v>9</v>
      </c>
      <c r="B81" s="3472"/>
      <c r="C81" s="2829" t="s">
        <v>2659</v>
      </c>
      <c r="D81" s="2829" t="s">
        <v>2660</v>
      </c>
      <c r="E81" s="2855">
        <v>0.1</v>
      </c>
      <c r="F81" s="2855">
        <v>15</v>
      </c>
    </row>
    <row r="82" spans="1:6" ht="24">
      <c r="A82" s="2855">
        <v>10</v>
      </c>
      <c r="B82" s="3472"/>
      <c r="C82" s="2829" t="s">
        <v>2661</v>
      </c>
      <c r="D82" s="2829" t="s">
        <v>2662</v>
      </c>
      <c r="E82" s="2855">
        <v>0.1</v>
      </c>
      <c r="F82" s="2855">
        <v>15</v>
      </c>
    </row>
    <row r="83" spans="1:6" ht="24">
      <c r="A83" s="2855">
        <v>11</v>
      </c>
      <c r="B83" s="3472"/>
      <c r="C83" s="2829" t="s">
        <v>2663</v>
      </c>
      <c r="D83" s="2829" t="s">
        <v>2664</v>
      </c>
      <c r="E83" s="2855">
        <v>0.1</v>
      </c>
      <c r="F83" s="2855">
        <v>15</v>
      </c>
    </row>
    <row r="84" spans="1:6" ht="24">
      <c r="A84" s="2855">
        <v>12</v>
      </c>
      <c r="B84" s="3472"/>
      <c r="C84" s="2829" t="s">
        <v>2665</v>
      </c>
      <c r="D84" s="2829" t="s">
        <v>2666</v>
      </c>
      <c r="E84" s="2855">
        <v>0.1</v>
      </c>
      <c r="F84" s="2855">
        <v>15</v>
      </c>
    </row>
    <row r="85" spans="1:6" ht="13.5">
      <c r="A85" s="2855">
        <v>13</v>
      </c>
      <c r="B85" s="3472"/>
      <c r="C85" s="2829" t="s">
        <v>2667</v>
      </c>
      <c r="D85" s="2829" t="s">
        <v>2668</v>
      </c>
      <c r="E85" s="2855">
        <v>0.1</v>
      </c>
      <c r="F85" s="2855">
        <v>15</v>
      </c>
    </row>
    <row r="86" spans="1:6" ht="13.5">
      <c r="A86" s="2855">
        <v>14</v>
      </c>
      <c r="B86" s="3472"/>
      <c r="C86" s="2829" t="s">
        <v>2669</v>
      </c>
      <c r="D86" s="2829" t="s">
        <v>2670</v>
      </c>
      <c r="E86" s="2855">
        <v>0.1</v>
      </c>
      <c r="F86" s="2855">
        <v>15</v>
      </c>
    </row>
    <row r="87" spans="1:6" ht="13.5">
      <c r="A87" s="2855">
        <v>15</v>
      </c>
      <c r="B87" s="3472"/>
      <c r="C87" s="2829" t="s">
        <v>2671</v>
      </c>
      <c r="D87" s="2829" t="s">
        <v>2672</v>
      </c>
      <c r="E87" s="2855">
        <v>0.1</v>
      </c>
      <c r="F87" s="2855">
        <v>15</v>
      </c>
    </row>
    <row r="88" spans="1:6" ht="24">
      <c r="A88" s="2855">
        <v>16</v>
      </c>
      <c r="B88" s="3472"/>
      <c r="C88" s="2829" t="s">
        <v>2673</v>
      </c>
      <c r="D88" s="2829" t="s">
        <v>2674</v>
      </c>
      <c r="E88" s="2855">
        <v>0.1</v>
      </c>
      <c r="F88" s="2855">
        <v>15</v>
      </c>
    </row>
    <row r="89" spans="1:6" ht="24">
      <c r="A89" s="2855">
        <v>17</v>
      </c>
      <c r="B89" s="3481"/>
      <c r="C89" s="2829" t="s">
        <v>2675</v>
      </c>
      <c r="D89" s="2829" t="s">
        <v>2676</v>
      </c>
      <c r="E89" s="2855">
        <v>0.1</v>
      </c>
      <c r="F89" s="2855">
        <v>15</v>
      </c>
    </row>
    <row r="90" spans="1:6" ht="13.5">
      <c r="A90" s="2855">
        <v>18</v>
      </c>
      <c r="B90" s="3477" t="s">
        <v>2677</v>
      </c>
      <c r="C90" s="2829" t="s">
        <v>2678</v>
      </c>
      <c r="D90" s="2829" t="s">
        <v>2679</v>
      </c>
      <c r="E90" s="2855">
        <v>0.2</v>
      </c>
      <c r="F90" s="2855">
        <v>25</v>
      </c>
    </row>
    <row r="91" spans="1:6" ht="24">
      <c r="A91" s="2855">
        <v>19</v>
      </c>
      <c r="B91" s="3472"/>
      <c r="C91" s="2829" t="s">
        <v>2680</v>
      </c>
      <c r="D91" s="2829" t="s">
        <v>2681</v>
      </c>
      <c r="E91" s="2855">
        <v>0.2</v>
      </c>
      <c r="F91" s="2855">
        <v>25</v>
      </c>
    </row>
    <row r="92" spans="1:6" ht="13.5">
      <c r="A92" s="2855">
        <v>20</v>
      </c>
      <c r="B92" s="3472"/>
      <c r="C92" s="2829" t="s">
        <v>2682</v>
      </c>
      <c r="D92" s="2829" t="s">
        <v>2683</v>
      </c>
      <c r="E92" s="2855">
        <v>0.15</v>
      </c>
      <c r="F92" s="2855">
        <v>20</v>
      </c>
    </row>
    <row r="93" spans="1:6" ht="13.5">
      <c r="A93" s="2855">
        <v>21</v>
      </c>
      <c r="B93" s="3472"/>
      <c r="C93" s="2829" t="s">
        <v>2684</v>
      </c>
      <c r="D93" s="2829" t="s">
        <v>2685</v>
      </c>
      <c r="E93" s="2855">
        <v>0.15</v>
      </c>
      <c r="F93" s="2855">
        <v>20</v>
      </c>
    </row>
    <row r="94" spans="1:6" ht="13.5">
      <c r="A94" s="2855">
        <v>22</v>
      </c>
      <c r="B94" s="3472"/>
      <c r="C94" s="2829" t="s">
        <v>2686</v>
      </c>
      <c r="D94" s="2829" t="s">
        <v>2687</v>
      </c>
      <c r="E94" s="2855">
        <v>0.15</v>
      </c>
      <c r="F94" s="2855">
        <v>20</v>
      </c>
    </row>
    <row r="95" spans="1:6" ht="36">
      <c r="A95" s="2855">
        <v>23</v>
      </c>
      <c r="B95" s="3472"/>
      <c r="C95" s="2829" t="s">
        <v>2688</v>
      </c>
      <c r="D95" s="2829" t="s">
        <v>2689</v>
      </c>
      <c r="E95" s="2855">
        <v>0.15</v>
      </c>
      <c r="F95" s="2855">
        <v>20</v>
      </c>
    </row>
    <row r="96" spans="1:6" ht="13.5">
      <c r="A96" s="2855">
        <v>24</v>
      </c>
      <c r="B96" s="3472"/>
      <c r="C96" s="2829" t="s">
        <v>2690</v>
      </c>
      <c r="D96" s="2829" t="s">
        <v>2691</v>
      </c>
      <c r="E96" s="2855">
        <v>0.1</v>
      </c>
      <c r="F96" s="2855">
        <v>15</v>
      </c>
    </row>
    <row r="97" spans="1:6" ht="13.5">
      <c r="A97" s="2855">
        <v>25</v>
      </c>
      <c r="B97" s="3472"/>
      <c r="C97" s="2829" t="s">
        <v>2692</v>
      </c>
      <c r="D97" s="2829" t="s">
        <v>2693</v>
      </c>
      <c r="E97" s="2855">
        <v>0.1</v>
      </c>
      <c r="F97" s="2855">
        <v>15</v>
      </c>
    </row>
    <row r="98" spans="1:6" ht="24">
      <c r="A98" s="2855">
        <v>26</v>
      </c>
      <c r="B98" s="3472"/>
      <c r="C98" s="2829" t="s">
        <v>2694</v>
      </c>
      <c r="D98" s="2829" t="s">
        <v>2695</v>
      </c>
      <c r="E98" s="2855">
        <v>0.1</v>
      </c>
      <c r="F98" s="2855">
        <v>15</v>
      </c>
    </row>
    <row r="99" spans="1:6" ht="24">
      <c r="A99" s="2855">
        <v>27</v>
      </c>
      <c r="B99" s="3472"/>
      <c r="C99" s="2829" t="s">
        <v>2696</v>
      </c>
      <c r="D99" s="2829" t="s">
        <v>2697</v>
      </c>
      <c r="E99" s="2855">
        <v>0.1</v>
      </c>
      <c r="F99" s="2855">
        <v>15</v>
      </c>
    </row>
    <row r="100" spans="1:6" ht="13.5">
      <c r="A100" s="2855">
        <v>28</v>
      </c>
      <c r="B100" s="3472"/>
      <c r="C100" s="2829" t="s">
        <v>2698</v>
      </c>
      <c r="D100" s="2829" t="s">
        <v>2699</v>
      </c>
      <c r="E100" s="2855">
        <v>0.1</v>
      </c>
      <c r="F100" s="2855">
        <v>15</v>
      </c>
    </row>
    <row r="101" spans="1:6" ht="13.5">
      <c r="A101" s="2855">
        <v>29</v>
      </c>
      <c r="B101" s="3472"/>
      <c r="C101" s="2829" t="s">
        <v>2700</v>
      </c>
      <c r="D101" s="2829" t="s">
        <v>2701</v>
      </c>
      <c r="E101" s="2855">
        <v>0.1</v>
      </c>
      <c r="F101" s="2855">
        <v>15</v>
      </c>
    </row>
    <row r="102" spans="1:6" ht="13.5">
      <c r="A102" s="2855">
        <v>30</v>
      </c>
      <c r="B102" s="3472"/>
      <c r="C102" s="2829" t="s">
        <v>2702</v>
      </c>
      <c r="D102" s="2829" t="s">
        <v>2703</v>
      </c>
      <c r="E102" s="2855">
        <v>0.1</v>
      </c>
      <c r="F102" s="2855">
        <v>15</v>
      </c>
    </row>
    <row r="103" spans="1:6" ht="24">
      <c r="A103" s="2855">
        <v>31</v>
      </c>
      <c r="B103" s="3472"/>
      <c r="C103" s="2829" t="s">
        <v>2704</v>
      </c>
      <c r="D103" s="2829" t="s">
        <v>2705</v>
      </c>
      <c r="E103" s="2855">
        <v>0.1</v>
      </c>
      <c r="F103" s="2855">
        <v>15</v>
      </c>
    </row>
    <row r="104" spans="1:6" ht="24">
      <c r="A104" s="2855">
        <v>32</v>
      </c>
      <c r="B104" s="3472"/>
      <c r="C104" s="2829" t="s">
        <v>2706</v>
      </c>
      <c r="D104" s="2829" t="s">
        <v>2707</v>
      </c>
      <c r="E104" s="2855">
        <v>0.1</v>
      </c>
      <c r="F104" s="2855">
        <v>15</v>
      </c>
    </row>
    <row r="105" spans="1:6" ht="24">
      <c r="A105" s="2855">
        <v>33</v>
      </c>
      <c r="B105" s="3472"/>
      <c r="C105" s="2829" t="s">
        <v>2708</v>
      </c>
      <c r="D105" s="2829" t="s">
        <v>2709</v>
      </c>
      <c r="E105" s="2855">
        <v>0.1</v>
      </c>
      <c r="F105" s="2855">
        <v>15</v>
      </c>
    </row>
    <row r="106" spans="1:6" ht="24">
      <c r="A106" s="2855">
        <v>34</v>
      </c>
      <c r="B106" s="3481"/>
      <c r="C106" s="2829" t="s">
        <v>2710</v>
      </c>
      <c r="D106" s="2829" t="s">
        <v>2711</v>
      </c>
      <c r="E106" s="2855">
        <v>0.1</v>
      </c>
      <c r="F106" s="2855">
        <v>15</v>
      </c>
    </row>
    <row r="107" spans="1:6" ht="24">
      <c r="A107" s="2855">
        <v>35</v>
      </c>
      <c r="B107" s="3477" t="s">
        <v>2712</v>
      </c>
      <c r="C107" s="2855" t="s">
        <v>2713</v>
      </c>
      <c r="D107" s="2829" t="s">
        <v>2714</v>
      </c>
      <c r="E107" s="2855">
        <v>0.15</v>
      </c>
      <c r="F107" s="2855">
        <v>20</v>
      </c>
    </row>
    <row r="108" spans="1:6" ht="13.5">
      <c r="A108" s="2855">
        <v>36</v>
      </c>
      <c r="B108" s="3472"/>
      <c r="C108" s="2855" t="s">
        <v>2715</v>
      </c>
      <c r="D108" s="2829" t="s">
        <v>2716</v>
      </c>
      <c r="E108" s="2855">
        <v>0.15</v>
      </c>
      <c r="F108" s="2855">
        <v>20</v>
      </c>
    </row>
    <row r="109" spans="1:6" ht="13.5">
      <c r="A109" s="2855">
        <v>37</v>
      </c>
      <c r="B109" s="3472"/>
      <c r="C109" s="2855" t="s">
        <v>2717</v>
      </c>
      <c r="D109" s="2829" t="s">
        <v>2718</v>
      </c>
      <c r="E109" s="2855">
        <v>0.15</v>
      </c>
      <c r="F109" s="2855">
        <v>20</v>
      </c>
    </row>
    <row r="110" spans="1:6" ht="13.5">
      <c r="A110" s="2855">
        <v>38</v>
      </c>
      <c r="B110" s="3472"/>
      <c r="C110" s="2855" t="s">
        <v>2719</v>
      </c>
      <c r="D110" s="2829" t="s">
        <v>2720</v>
      </c>
      <c r="E110" s="2855">
        <v>0.1</v>
      </c>
      <c r="F110" s="2855">
        <v>15</v>
      </c>
    </row>
    <row r="111" spans="1:6" ht="24">
      <c r="A111" s="2855">
        <v>39</v>
      </c>
      <c r="B111" s="3472"/>
      <c r="C111" s="2855" t="s">
        <v>2721</v>
      </c>
      <c r="D111" s="2829" t="s">
        <v>2722</v>
      </c>
      <c r="E111" s="2855">
        <v>0.1</v>
      </c>
      <c r="F111" s="2855">
        <v>15</v>
      </c>
    </row>
    <row r="112" spans="1:6" ht="24">
      <c r="A112" s="2855">
        <v>40</v>
      </c>
      <c r="B112" s="3481"/>
      <c r="C112" s="2855" t="s">
        <v>2723</v>
      </c>
      <c r="D112" s="2829" t="s">
        <v>2724</v>
      </c>
      <c r="E112" s="2855">
        <v>0.1</v>
      </c>
      <c r="F112" s="2855">
        <v>15</v>
      </c>
    </row>
    <row r="113" spans="1:6" ht="13.5">
      <c r="A113" s="2855">
        <v>41</v>
      </c>
      <c r="B113" s="3482" t="s">
        <v>2725</v>
      </c>
      <c r="C113" s="2855" t="s">
        <v>2726</v>
      </c>
      <c r="D113" s="2829" t="s">
        <v>2727</v>
      </c>
      <c r="E113" s="2855">
        <v>0.1</v>
      </c>
      <c r="F113" s="2855">
        <v>15</v>
      </c>
    </row>
    <row r="114" spans="1:6" ht="13.5">
      <c r="A114" s="2855">
        <v>42</v>
      </c>
      <c r="B114" s="3482"/>
      <c r="C114" s="2855" t="s">
        <v>2728</v>
      </c>
      <c r="D114" s="2829" t="s">
        <v>2729</v>
      </c>
      <c r="E114" s="2855">
        <v>0.1</v>
      </c>
      <c r="F114" s="2855">
        <v>15</v>
      </c>
    </row>
    <row r="115" spans="1:6" ht="24">
      <c r="A115" s="2855">
        <v>43</v>
      </c>
      <c r="B115" s="3482"/>
      <c r="C115" s="2855" t="s">
        <v>2730</v>
      </c>
      <c r="D115" s="2829" t="s">
        <v>2731</v>
      </c>
      <c r="E115" s="2855">
        <v>0.1</v>
      </c>
      <c r="F115" s="2855">
        <v>15</v>
      </c>
    </row>
    <row r="116" spans="1:6" ht="13.5">
      <c r="A116" s="2855">
        <v>44</v>
      </c>
      <c r="B116" s="3477" t="s">
        <v>2732</v>
      </c>
      <c r="C116" s="2855" t="s">
        <v>2733</v>
      </c>
      <c r="D116" s="2829" t="s">
        <v>2734</v>
      </c>
      <c r="E116" s="2855">
        <v>0.1</v>
      </c>
      <c r="F116" s="2855">
        <v>15</v>
      </c>
    </row>
    <row r="117" spans="1:6" ht="24">
      <c r="A117" s="2855">
        <v>45</v>
      </c>
      <c r="B117" s="3481"/>
      <c r="C117" s="2829" t="s">
        <v>2735</v>
      </c>
      <c r="D117" s="2829" t="s">
        <v>2736</v>
      </c>
      <c r="E117" s="2855">
        <v>0.1</v>
      </c>
      <c r="F117" s="2855">
        <v>15</v>
      </c>
    </row>
    <row r="118" spans="1:6" ht="24">
      <c r="A118" s="2855">
        <v>46</v>
      </c>
      <c r="B118" s="3477" t="s">
        <v>2737</v>
      </c>
      <c r="C118" s="2855" t="s">
        <v>2738</v>
      </c>
      <c r="D118" s="2829" t="s">
        <v>2739</v>
      </c>
      <c r="E118" s="2855">
        <v>0.1</v>
      </c>
      <c r="F118" s="2855">
        <v>15</v>
      </c>
    </row>
    <row r="119" spans="1:6" ht="24">
      <c r="A119" s="2855">
        <v>47</v>
      </c>
      <c r="B119" s="3481"/>
      <c r="C119" s="2855" t="s">
        <v>2740</v>
      </c>
      <c r="D119" s="2829" t="s">
        <v>2741</v>
      </c>
      <c r="E119" s="2855">
        <v>0.1</v>
      </c>
      <c r="F119" s="2855">
        <v>15</v>
      </c>
    </row>
    <row r="120" spans="1:6" ht="13.5">
      <c r="A120" s="2855">
        <v>48</v>
      </c>
      <c r="B120" s="3477" t="s">
        <v>2742</v>
      </c>
      <c r="C120" s="2855" t="s">
        <v>2743</v>
      </c>
      <c r="D120" s="2829" t="s">
        <v>2744</v>
      </c>
      <c r="E120" s="2855">
        <v>0.1</v>
      </c>
      <c r="F120" s="2855">
        <v>15</v>
      </c>
    </row>
    <row r="121" spans="1:6" ht="13.5">
      <c r="A121" s="2855">
        <v>49</v>
      </c>
      <c r="B121" s="3481"/>
      <c r="C121" s="2855" t="s">
        <v>2745</v>
      </c>
      <c r="D121" s="2829" t="s">
        <v>2746</v>
      </c>
      <c r="E121" s="2855">
        <v>0.1</v>
      </c>
      <c r="F121" s="2855">
        <v>15</v>
      </c>
    </row>
    <row r="122" spans="1:6" ht="24">
      <c r="A122" s="2855">
        <v>50</v>
      </c>
      <c r="B122" s="3482" t="s">
        <v>2747</v>
      </c>
      <c r="C122" s="2855" t="s">
        <v>2748</v>
      </c>
      <c r="D122" s="2829" t="s">
        <v>2749</v>
      </c>
      <c r="E122" s="2855">
        <v>0.1</v>
      </c>
      <c r="F122" s="2855">
        <v>15</v>
      </c>
    </row>
    <row r="123" spans="1:6" ht="24">
      <c r="A123" s="2855">
        <v>51</v>
      </c>
      <c r="B123" s="3482"/>
      <c r="C123" s="2855" t="s">
        <v>2750</v>
      </c>
      <c r="D123" s="2829" t="s">
        <v>2751</v>
      </c>
      <c r="E123" s="2855">
        <v>0.1</v>
      </c>
      <c r="F123" s="2855">
        <v>15</v>
      </c>
    </row>
    <row r="124" spans="1:6" ht="24">
      <c r="A124" s="2855">
        <v>52</v>
      </c>
      <c r="B124" s="3482" t="s">
        <v>2752</v>
      </c>
      <c r="C124" s="2855" t="s">
        <v>2753</v>
      </c>
      <c r="D124" s="2829" t="s">
        <v>2754</v>
      </c>
      <c r="E124" s="2855">
        <v>0.1</v>
      </c>
      <c r="F124" s="2855">
        <v>15</v>
      </c>
    </row>
    <row r="125" spans="1:6" ht="24">
      <c r="A125" s="2855">
        <v>53</v>
      </c>
      <c r="B125" s="3482"/>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482" t="s">
        <v>2760</v>
      </c>
      <c r="C127" s="2855" t="s">
        <v>2761</v>
      </c>
      <c r="D127" s="2829" t="s">
        <v>2762</v>
      </c>
      <c r="E127" s="2855">
        <v>0.1</v>
      </c>
      <c r="F127" s="2855">
        <v>15</v>
      </c>
    </row>
    <row r="128" spans="1:6" ht="13.5">
      <c r="A128" s="2855">
        <v>56</v>
      </c>
      <c r="B128" s="3482"/>
      <c r="C128" s="2855" t="s">
        <v>2763</v>
      </c>
      <c r="D128" s="2829" t="s">
        <v>2764</v>
      </c>
      <c r="E128" s="2855">
        <v>0.1</v>
      </c>
      <c r="F128" s="2855">
        <v>15</v>
      </c>
    </row>
    <row r="129" spans="1:6" ht="24">
      <c r="A129" s="2855">
        <v>57</v>
      </c>
      <c r="B129" s="3482"/>
      <c r="C129" s="2855" t="s">
        <v>2765</v>
      </c>
      <c r="D129" s="2829" t="s">
        <v>2766</v>
      </c>
      <c r="E129" s="2855">
        <v>0.1</v>
      </c>
      <c r="F129" s="2855">
        <v>15</v>
      </c>
    </row>
    <row r="130" spans="1:6" ht="24">
      <c r="A130" s="2855">
        <v>58</v>
      </c>
      <c r="B130" s="3482" t="s">
        <v>2767</v>
      </c>
      <c r="C130" s="2855" t="s">
        <v>2768</v>
      </c>
      <c r="D130" s="2829" t="s">
        <v>2769</v>
      </c>
      <c r="E130" s="2855">
        <v>0.1</v>
      </c>
      <c r="F130" s="2855">
        <v>15</v>
      </c>
    </row>
    <row r="131" spans="1:6" ht="13.5">
      <c r="A131" s="2855">
        <v>59</v>
      </c>
      <c r="B131" s="3482"/>
      <c r="C131" s="2855" t="s">
        <v>2770</v>
      </c>
      <c r="D131" s="2829" t="s">
        <v>2771</v>
      </c>
      <c r="E131" s="2855">
        <v>0.1</v>
      </c>
      <c r="F131" s="2855">
        <v>15</v>
      </c>
    </row>
    <row r="132" spans="1:6" ht="13.5">
      <c r="A132" s="2855">
        <v>60</v>
      </c>
      <c r="B132" s="3477" t="s">
        <v>2772</v>
      </c>
      <c r="C132" s="2855" t="s">
        <v>2773</v>
      </c>
      <c r="D132" s="2829" t="s">
        <v>2774</v>
      </c>
      <c r="E132" s="2855">
        <v>0.1</v>
      </c>
      <c r="F132" s="2855">
        <v>15</v>
      </c>
    </row>
    <row r="133" spans="1:6" ht="13.5">
      <c r="A133" s="2855">
        <v>61</v>
      </c>
      <c r="B133" s="3481"/>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482" t="s">
        <v>2780</v>
      </c>
      <c r="C135" s="2855" t="s">
        <v>2781</v>
      </c>
      <c r="D135" s="2829" t="s">
        <v>2782</v>
      </c>
      <c r="E135" s="2855">
        <v>0.1</v>
      </c>
      <c r="F135" s="2855">
        <v>15</v>
      </c>
    </row>
    <row r="136" spans="1:6" ht="13.5">
      <c r="A136" s="2855">
        <v>64</v>
      </c>
      <c r="B136" s="3482"/>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7"/>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1.173</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1.0678000000000001</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f ca="1">结果表!H101</f>
        <v>1062</v>
      </c>
    </row>
    <row r="6" spans="1:5" ht="15.75">
      <c r="B6" s="3164"/>
      <c r="C6" s="1392" t="s">
        <v>911</v>
      </c>
      <c r="D6" s="797" t="str">
        <f ca="1">NUMBERSTRING(INT(D5*10000),2)&amp;"元整"</f>
        <v>壹仟零陆拾贰万元整</v>
      </c>
    </row>
    <row r="7" spans="1:5" ht="15.75">
      <c r="B7" s="3169"/>
      <c r="C7" s="1393" t="s">
        <v>912</v>
      </c>
      <c r="D7" s="798">
        <f ca="1">结果表!H102</f>
        <v>6678</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f ca="1">结果表!H107</f>
        <v>1062</v>
      </c>
    </row>
    <row r="14" spans="1:5" ht="15.75">
      <c r="B14" s="3164"/>
      <c r="C14" s="1392" t="s">
        <v>911</v>
      </c>
      <c r="D14" s="797" t="str">
        <f ca="1">NUMBERSTRING(INT(D13*10000),2)&amp;"元整"</f>
        <v>壹仟零陆拾贰万元整</v>
      </c>
    </row>
    <row r="15" spans="1:5" ht="15">
      <c r="B15" s="3169"/>
      <c r="C15" s="1393" t="s">
        <v>921</v>
      </c>
      <c r="D15" s="806">
        <f ca="1">结果表!H108</f>
        <v>6678</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28219</v>
      </c>
      <c r="C2" s="2" t="s">
        <v>106</v>
      </c>
      <c r="D2" s="191"/>
      <c r="E2" s="191"/>
      <c r="F2" s="191"/>
      <c r="G2" s="191"/>
    </row>
    <row r="3" spans="1:7" s="192" customFormat="1" ht="18" customHeight="1" thickBot="1">
      <c r="A3" s="195" t="s">
        <v>58</v>
      </c>
      <c r="B3" s="196">
        <f ca="1">ROUND(B2*10000/'数据-汇总表'!E3,0)</f>
        <v>177397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13</v>
      </c>
      <c r="D10" s="795">
        <f>'数据-汇总表'!E6</f>
        <v>1590.73</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v>
      </c>
      <c r="D19" s="204">
        <f>'数据-汇总表'!E3</f>
        <v>1590.73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1766</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2527</v>
      </c>
      <c r="D27" s="227">
        <f>C29</f>
        <v>2.3999999999999998E-3</v>
      </c>
      <c r="E27" s="228" t="s">
        <v>99</v>
      </c>
      <c r="F27" s="238">
        <f>'数据-取费表'!Q16</f>
        <v>0.12</v>
      </c>
      <c r="G27" s="239" t="s">
        <v>431</v>
      </c>
    </row>
    <row r="28" spans="1:7" s="206" customFormat="1" ht="13.5" customHeight="1">
      <c r="A28" s="734" t="s">
        <v>349</v>
      </c>
      <c r="B28" s="240" t="s">
        <v>424</v>
      </c>
      <c r="C28" s="241">
        <f>ROUND((C5+C19+C20)*F27*'数据-取费表'!B21/'数据-取费表'!B20,0)</f>
        <v>2527</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27420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620</v>
      </c>
      <c r="D34" s="209"/>
      <c r="E34" s="212"/>
      <c r="F34" s="249">
        <f>IF('数据-取费表'!B24=0,1,'数据-取费表'!N16)</f>
        <v>1</v>
      </c>
      <c r="G34" s="211" t="s">
        <v>89</v>
      </c>
    </row>
    <row r="35" spans="1:7" ht="13.5" customHeight="1">
      <c r="A35" s="734" t="s">
        <v>351</v>
      </c>
      <c r="B35" s="207" t="s">
        <v>33</v>
      </c>
      <c r="C35" s="212">
        <f>ROUND(C34*F35,0)</f>
        <v>31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v>
      </c>
      <c r="D37" s="209">
        <f>'数据-汇总表'!E3</f>
        <v>1590.73</v>
      </c>
      <c r="E37" s="241">
        <f>'数据-取费表'!B35</f>
        <v>200</v>
      </c>
      <c r="F37" s="251"/>
      <c r="G37" s="253" t="s">
        <v>92</v>
      </c>
    </row>
    <row r="38" spans="1:7" ht="13.5" customHeight="1">
      <c r="A38" s="734" t="s">
        <v>354</v>
      </c>
      <c r="B38" s="207" t="s">
        <v>36</v>
      </c>
      <c r="C38" s="212">
        <f>ROUND(C34*F38,0)</f>
        <v>9</v>
      </c>
      <c r="D38" s="212"/>
      <c r="E38" s="212"/>
      <c r="F38" s="251">
        <f>'数据-取费表'!B36</f>
        <v>1.4999999999999999E-2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29</v>
      </c>
      <c r="D42" s="230"/>
      <c r="E42" s="230"/>
      <c r="F42" s="231"/>
      <c r="G42" s="3344" t="s">
        <v>94</v>
      </c>
    </row>
    <row r="43" spans="1:7" ht="13.5" customHeight="1">
      <c r="A43" s="734" t="s">
        <v>347</v>
      </c>
      <c r="B43" s="207" t="s">
        <v>426</v>
      </c>
      <c r="C43" s="230">
        <f ca="1">ROUND(IF('数据-取费表'!B22&lt;=1,C39*F22*'数据-取费表'!B21/2,C39*(POWER((1+F22),'数据-取费表'!B21/2)-1)),0)</f>
        <v>1</v>
      </c>
      <c r="D43" s="230"/>
      <c r="E43" s="230"/>
      <c r="F43" s="231"/>
      <c r="G43" s="3345"/>
    </row>
    <row r="44" spans="1:7" ht="13.5" customHeight="1">
      <c r="A44" s="734" t="s">
        <v>348</v>
      </c>
      <c r="B44" s="207" t="s">
        <v>428</v>
      </c>
      <c r="C44" s="230">
        <f ca="1">ROUND(IF('数据-取费表'!B22&lt;=1,C40*F22*'数据-取费表'!B21/2,C40*(POWER((1+F22),'数据-取费表'!B21/2)-1)),4)</f>
        <v>8.0000000000000004E-4</v>
      </c>
      <c r="D44" s="230"/>
      <c r="E44" s="230"/>
      <c r="F44" s="231"/>
      <c r="G44" s="3346"/>
    </row>
    <row r="45" spans="1:7" s="206" customFormat="1" ht="13.5" customHeight="1">
      <c r="A45" s="731" t="s">
        <v>341</v>
      </c>
      <c r="B45" s="236" t="s">
        <v>85</v>
      </c>
      <c r="C45" s="237">
        <f>C46</f>
        <v>85</v>
      </c>
      <c r="D45" s="227">
        <f>C47</f>
        <v>2.3999999999999998E-3</v>
      </c>
      <c r="E45" s="228" t="s">
        <v>102</v>
      </c>
      <c r="F45" s="238"/>
      <c r="G45" s="239" t="s">
        <v>434</v>
      </c>
    </row>
    <row r="46" spans="1:7" s="206" customFormat="1" ht="13.5" customHeight="1">
      <c r="A46" s="734" t="s">
        <v>349</v>
      </c>
      <c r="B46" s="240" t="s">
        <v>427</v>
      </c>
      <c r="C46" s="241">
        <f>ROUND((C33+C39)*F27,0)</f>
        <v>85</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888</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799</v>
      </c>
      <c r="D51" s="224"/>
      <c r="E51" s="224"/>
      <c r="F51" s="256"/>
      <c r="G51" s="226" t="s">
        <v>37</v>
      </c>
    </row>
    <row r="52" spans="1:7" s="200" customFormat="1" ht="16.5" thickBot="1">
      <c r="A52" s="257" t="s">
        <v>38</v>
      </c>
      <c r="B52" s="258"/>
      <c r="C52" s="259">
        <f ca="1">C31+C51</f>
        <v>28219</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N18" sqref="N1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5" t="s">
        <v>2834</v>
      </c>
      <c r="B1" s="3485"/>
      <c r="C1" s="3485"/>
      <c r="D1" s="3485"/>
      <c r="E1" s="3485"/>
      <c r="F1" s="3485"/>
      <c r="G1" s="3486"/>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483" t="s">
        <v>2861</v>
      </c>
      <c r="B3" s="2942"/>
      <c r="C3" s="2943" t="s">
        <v>2802</v>
      </c>
      <c r="D3" s="2943" t="s">
        <v>2862</v>
      </c>
      <c r="E3" s="2943" t="s">
        <v>2804</v>
      </c>
      <c r="F3" s="2943" t="s">
        <v>2863</v>
      </c>
      <c r="G3" s="2943" t="s">
        <v>2622</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484"/>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7" t="s">
        <v>3176</v>
      </c>
      <c r="B1" s="3487"/>
    </row>
    <row r="2" spans="1:7" ht="14.25" thickBot="1">
      <c r="A2" s="2966"/>
      <c r="B2" s="2966"/>
    </row>
    <row r="3" spans="1:7" ht="14.25" thickBot="1">
      <c r="A3" s="2966"/>
      <c r="B3" s="2966"/>
      <c r="C3" s="2967" t="s">
        <v>2802</v>
      </c>
      <c r="D3" s="2967" t="s">
        <v>2862</v>
      </c>
      <c r="E3" s="2967" t="s">
        <v>2804</v>
      </c>
      <c r="F3" s="2967" t="s">
        <v>2863</v>
      </c>
      <c r="G3" s="2967" t="s">
        <v>2622</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1"/>
  </cols>
  <sheetData>
    <row r="1" spans="1:6">
      <c r="A1" s="3488" t="s">
        <v>3227</v>
      </c>
      <c r="B1" s="3488"/>
      <c r="C1" s="3488"/>
      <c r="D1" s="3488"/>
      <c r="E1" s="3488"/>
      <c r="F1" s="3489"/>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N18" sqref="N18"/>
    </sheetView>
  </sheetViews>
  <sheetFormatPr defaultRowHeight="13.5"/>
  <cols>
    <col min="1" max="1" width="13.875" customWidth="1"/>
    <col min="11" max="17" width="0" hidden="1" customWidth="1"/>
    <col min="25" max="30" width="0" hidden="1" customWidth="1"/>
  </cols>
  <sheetData>
    <row r="1" spans="1:30">
      <c r="A1" s="2935">
        <f>基准地价修正!G23</f>
        <v>45009</v>
      </c>
      <c r="B1" s="2927" t="s">
        <v>2833</v>
      </c>
      <c r="C1" s="2928"/>
      <c r="D1" s="2928"/>
      <c r="E1" s="2928"/>
      <c r="F1" s="2928"/>
      <c r="G1" s="2928"/>
      <c r="H1" s="2928"/>
      <c r="I1" s="2928"/>
      <c r="J1" s="2894"/>
      <c r="K1" s="2928" t="s">
        <v>454</v>
      </c>
      <c r="L1" s="2928"/>
      <c r="M1" s="2928"/>
      <c r="N1" s="2928"/>
      <c r="O1" s="2928"/>
      <c r="P1" s="2928"/>
      <c r="Q1" s="2894"/>
      <c r="R1" s="3490" t="s">
        <v>456</v>
      </c>
      <c r="S1" s="3491"/>
      <c r="T1" s="3491"/>
      <c r="U1" s="3491"/>
      <c r="V1" s="3491"/>
      <c r="W1" s="3491"/>
      <c r="X1" s="2894"/>
      <c r="Y1" s="3490" t="s">
        <v>457</v>
      </c>
      <c r="Z1" s="3491"/>
      <c r="AA1" s="3491"/>
      <c r="AB1" s="3491"/>
      <c r="AC1" s="3491"/>
      <c r="AD1" s="3491"/>
    </row>
    <row r="2" spans="1:30" s="2010" customFormat="1" ht="14.25" thickBot="1">
      <c r="B2" s="2879"/>
      <c r="C2" s="2880"/>
      <c r="D2" s="2011" t="s">
        <v>2801</v>
      </c>
      <c r="E2" s="2012" t="s">
        <v>2802</v>
      </c>
      <c r="F2" s="2012" t="s">
        <v>2803</v>
      </c>
      <c r="G2" s="2012" t="s">
        <v>2804</v>
      </c>
      <c r="H2" s="2012" t="s">
        <v>2805</v>
      </c>
      <c r="I2" s="2012" t="s">
        <v>2622</v>
      </c>
      <c r="J2" s="2881"/>
      <c r="K2" s="2011" t="s">
        <v>2801</v>
      </c>
      <c r="L2" s="2012" t="s">
        <v>2802</v>
      </c>
      <c r="M2" s="2012" t="s">
        <v>2803</v>
      </c>
      <c r="N2" s="2012" t="s">
        <v>2804</v>
      </c>
      <c r="O2" s="2012" t="s">
        <v>2806</v>
      </c>
      <c r="P2" s="2012" t="s">
        <v>2622</v>
      </c>
      <c r="Q2" s="2881"/>
      <c r="R2" s="2011" t="s">
        <v>2801</v>
      </c>
      <c r="S2" s="2012" t="s">
        <v>2802</v>
      </c>
      <c r="T2" s="2012" t="s">
        <v>2803</v>
      </c>
      <c r="U2" s="2012" t="s">
        <v>2807</v>
      </c>
      <c r="V2" s="2012" t="s">
        <v>2808</v>
      </c>
      <c r="W2" s="2012" t="s">
        <v>2622</v>
      </c>
      <c r="X2" s="2881"/>
      <c r="Y2" s="2011" t="s">
        <v>2801</v>
      </c>
      <c r="Z2" s="2012" t="s">
        <v>2802</v>
      </c>
      <c r="AA2" s="2012" t="s">
        <v>2803</v>
      </c>
      <c r="AB2" s="2012" t="s">
        <v>2809</v>
      </c>
      <c r="AC2" s="2012" t="s">
        <v>2808</v>
      </c>
      <c r="AD2" s="2012" t="s">
        <v>2622</v>
      </c>
    </row>
    <row r="3" spans="1:30" s="2884" customFormat="1" ht="12.75">
      <c r="A3" s="2882" t="s">
        <v>2810</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903" t="s">
        <v>3365</v>
      </c>
      <c r="B5" s="2031">
        <v>2023</v>
      </c>
      <c r="C5" s="2042">
        <v>4</v>
      </c>
      <c r="D5" s="2007">
        <v>0</v>
      </c>
      <c r="E5" s="2007">
        <v>0</v>
      </c>
      <c r="F5" s="2007">
        <v>0</v>
      </c>
      <c r="G5" s="2007">
        <v>0</v>
      </c>
      <c r="H5" s="2007">
        <v>0</v>
      </c>
      <c r="I5" s="2008">
        <f t="shared" ref="I5:I16" si="4">F5</f>
        <v>0</v>
      </c>
      <c r="J5" s="2904"/>
      <c r="K5" s="2043">
        <f t="shared" ref="K5:O16" si="5">D5/100</f>
        <v>0</v>
      </c>
      <c r="L5" s="2028">
        <f t="shared" si="5"/>
        <v>0</v>
      </c>
      <c r="M5" s="2028">
        <f t="shared" si="5"/>
        <v>0</v>
      </c>
      <c r="N5" s="2028">
        <f t="shared" si="5"/>
        <v>0</v>
      </c>
      <c r="O5" s="2028">
        <f t="shared" si="5"/>
        <v>0</v>
      </c>
      <c r="P5" s="2028">
        <f>M5</f>
        <v>0</v>
      </c>
      <c r="Q5" s="2904"/>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4"/>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3" t="s">
        <v>3366</v>
      </c>
      <c r="B6" s="2031">
        <v>2023</v>
      </c>
      <c r="C6" s="2042">
        <v>3</v>
      </c>
      <c r="D6" s="2007">
        <v>0</v>
      </c>
      <c r="E6" s="2007">
        <v>0</v>
      </c>
      <c r="F6" s="2007">
        <v>0</v>
      </c>
      <c r="G6" s="2007">
        <v>0</v>
      </c>
      <c r="H6" s="2007">
        <v>0</v>
      </c>
      <c r="I6" s="2008">
        <f t="shared" si="4"/>
        <v>0</v>
      </c>
      <c r="J6" s="2904"/>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4"/>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4"/>
      <c r="Y6" s="2028"/>
      <c r="Z6" s="2028"/>
      <c r="AA6" s="2028"/>
      <c r="AB6" s="2028"/>
      <c r="AC6" s="2028"/>
      <c r="AD6" s="2028"/>
    </row>
    <row r="7" spans="1:30" s="2045" customFormat="1" ht="12.75">
      <c r="A7" s="2903" t="s">
        <v>3364</v>
      </c>
      <c r="B7" s="2031">
        <v>2023</v>
      </c>
      <c r="C7" s="2042">
        <v>2</v>
      </c>
      <c r="D7" s="2007">
        <v>0</v>
      </c>
      <c r="E7" s="2007">
        <v>0</v>
      </c>
      <c r="F7" s="2007">
        <v>0</v>
      </c>
      <c r="G7" s="2007">
        <v>0</v>
      </c>
      <c r="H7" s="2007">
        <v>0</v>
      </c>
      <c r="I7" s="2008">
        <f t="shared" si="4"/>
        <v>0</v>
      </c>
      <c r="J7" s="2904"/>
      <c r="K7" s="2043">
        <f t="shared" si="8"/>
        <v>0</v>
      </c>
      <c r="L7" s="2028">
        <f t="shared" si="9"/>
        <v>0</v>
      </c>
      <c r="M7" s="2028">
        <f t="shared" si="10"/>
        <v>0</v>
      </c>
      <c r="N7" s="2028">
        <f t="shared" si="11"/>
        <v>0</v>
      </c>
      <c r="O7" s="2028">
        <f t="shared" si="12"/>
        <v>0</v>
      </c>
      <c r="P7" s="2028">
        <f t="shared" si="13"/>
        <v>0</v>
      </c>
      <c r="Q7" s="2904"/>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4"/>
      <c r="Y7" s="2028"/>
      <c r="Z7" s="2028"/>
      <c r="AA7" s="2028"/>
      <c r="AB7" s="2028"/>
      <c r="AC7" s="2028"/>
      <c r="AD7" s="2028"/>
    </row>
    <row r="8" spans="1:30" s="2045" customFormat="1" ht="12.75">
      <c r="A8" s="2903" t="s">
        <v>2811</v>
      </c>
      <c r="B8" s="2031">
        <v>2023</v>
      </c>
      <c r="C8" s="2042">
        <v>1</v>
      </c>
      <c r="D8" s="2007">
        <v>0</v>
      </c>
      <c r="E8" s="2007">
        <v>0</v>
      </c>
      <c r="F8" s="2007">
        <v>0</v>
      </c>
      <c r="G8" s="2007">
        <v>0</v>
      </c>
      <c r="H8" s="2007">
        <v>0</v>
      </c>
      <c r="I8" s="2008">
        <f t="shared" si="4"/>
        <v>0</v>
      </c>
      <c r="J8" s="2904"/>
      <c r="K8" s="2043">
        <f t="shared" si="8"/>
        <v>0</v>
      </c>
      <c r="L8" s="2028">
        <f t="shared" si="9"/>
        <v>0</v>
      </c>
      <c r="M8" s="2028">
        <f t="shared" si="10"/>
        <v>0</v>
      </c>
      <c r="N8" s="2028">
        <f t="shared" si="11"/>
        <v>0</v>
      </c>
      <c r="O8" s="2028">
        <f t="shared" si="12"/>
        <v>0</v>
      </c>
      <c r="P8" s="2028">
        <f t="shared" si="13"/>
        <v>0</v>
      </c>
      <c r="Q8" s="2904"/>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4"/>
      <c r="Y8" s="2028"/>
      <c r="Z8" s="2028"/>
      <c r="AA8" s="2028"/>
      <c r="AB8" s="2028"/>
      <c r="AC8" s="2028"/>
      <c r="AD8" s="2028"/>
    </row>
    <row r="9" spans="1:30" s="2914" customFormat="1" ht="12.75">
      <c r="A9" s="2905" t="s">
        <v>2812</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f>ROUND(IF([2]项目基本情况!B8="出让",SUMPRODUCT(PRODUCT(1+K9:K16)),SUMPRODUCT(PRODUCT(1+K9:K15))),4)</f>
        <v>1.0565</v>
      </c>
      <c r="S9" s="2911">
        <f>ROUND(IF([2]项目基本情况!B8="出让",SUMPRODUCT(PRODUCT(1+L9:L16)),SUMPRODUCT(PRODUCT(1+L9:L15))),4)</f>
        <v>1.0250999999999999</v>
      </c>
      <c r="T9" s="2911">
        <f>ROUND(IF([2]项目基本情况!B8="出让",SUMPRODUCT(PRODUCT(1+M9:M16)),SUMPRODUCT(PRODUCT(1+M9:M15))),4)</f>
        <v>1.0145</v>
      </c>
      <c r="U9" s="2911">
        <f>ROUND(IF([2]项目基本情况!B8="出让",SUMPRODUCT(PRODUCT(1+N9:N16)),SUMPRODUCT(PRODUCT(1+N9:N15))),4)</f>
        <v>1.0618000000000001</v>
      </c>
      <c r="V9" s="2911">
        <f>ROUND(IF([2]项目基本情况!B8="出让",SUMPRODUCT(PRODUCT(1+O9:O16)),SUMPRODUCT(PRODUCT(1+O9:O15))),4)</f>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5" customFormat="1" ht="12.75">
      <c r="A10" s="2903" t="s">
        <v>3359</v>
      </c>
      <c r="B10" s="2031">
        <v>2022</v>
      </c>
      <c r="C10" s="2042">
        <v>3</v>
      </c>
      <c r="D10" s="2007">
        <v>0.66</v>
      </c>
      <c r="E10" s="2007">
        <v>0.32</v>
      </c>
      <c r="F10" s="2007">
        <v>0.23</v>
      </c>
      <c r="G10" s="2007">
        <v>0.72</v>
      </c>
      <c r="H10" s="2915">
        <v>0.63</v>
      </c>
      <c r="I10" s="2008">
        <f t="shared" si="4"/>
        <v>0.23</v>
      </c>
      <c r="J10" s="2904"/>
      <c r="K10" s="2043">
        <f t="shared" si="5"/>
        <v>6.6E-3</v>
      </c>
      <c r="L10" s="2028">
        <f t="shared" si="5"/>
        <v>3.2000000000000002E-3</v>
      </c>
      <c r="M10" s="2028">
        <f t="shared" si="5"/>
        <v>2.3E-3</v>
      </c>
      <c r="N10" s="2028">
        <f t="shared" si="5"/>
        <v>7.1999999999999998E-3</v>
      </c>
      <c r="O10" s="2028">
        <f t="shared" si="5"/>
        <v>6.3E-3</v>
      </c>
      <c r="P10" s="2028">
        <f t="shared" si="15"/>
        <v>2.3E-3</v>
      </c>
      <c r="Q10" s="2904"/>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4"/>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3" t="s">
        <v>3350</v>
      </c>
      <c r="B11" s="2031">
        <v>2022</v>
      </c>
      <c r="C11" s="2042">
        <v>2</v>
      </c>
      <c r="D11" s="2007">
        <v>0.93</v>
      </c>
      <c r="E11" s="2007">
        <v>0.15</v>
      </c>
      <c r="F11" s="2007">
        <v>0.01</v>
      </c>
      <c r="G11" s="2007">
        <v>1.05</v>
      </c>
      <c r="H11" s="2915">
        <v>1.08</v>
      </c>
      <c r="I11" s="2008">
        <f t="shared" si="4"/>
        <v>0.01</v>
      </c>
      <c r="J11" s="2904"/>
      <c r="K11" s="2043">
        <f t="shared" si="5"/>
        <v>9.300000000000001E-3</v>
      </c>
      <c r="L11" s="2028">
        <f t="shared" si="5"/>
        <v>1.5E-3</v>
      </c>
      <c r="M11" s="2028">
        <f t="shared" si="5"/>
        <v>1E-4</v>
      </c>
      <c r="N11" s="2028">
        <f t="shared" si="5"/>
        <v>1.0500000000000001E-2</v>
      </c>
      <c r="O11" s="2028">
        <f t="shared" si="5"/>
        <v>1.0800000000000001E-2</v>
      </c>
      <c r="P11" s="2028">
        <f t="shared" si="15"/>
        <v>1E-4</v>
      </c>
      <c r="Q11" s="2904"/>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4"/>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3" t="s">
        <v>2813</v>
      </c>
      <c r="B12" s="2031">
        <v>2022</v>
      </c>
      <c r="C12" s="2042">
        <v>1</v>
      </c>
      <c r="D12" s="2007">
        <v>0.89</v>
      </c>
      <c r="E12" s="2007">
        <v>0.44</v>
      </c>
      <c r="F12" s="2007">
        <v>0.37</v>
      </c>
      <c r="G12" s="2007">
        <v>0.96</v>
      </c>
      <c r="H12" s="2915">
        <v>0.64</v>
      </c>
      <c r="I12" s="2008">
        <f t="shared" si="4"/>
        <v>0.37</v>
      </c>
      <c r="J12" s="2904"/>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4"/>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4"/>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3" t="s">
        <v>2814</v>
      </c>
      <c r="B13" s="2031">
        <v>2021</v>
      </c>
      <c r="C13" s="2042">
        <v>4</v>
      </c>
      <c r="D13" s="2007">
        <v>1.03</v>
      </c>
      <c r="E13" s="2007">
        <v>0.24</v>
      </c>
      <c r="F13" s="2007">
        <v>7.0000000000000007E-2</v>
      </c>
      <c r="G13" s="2007">
        <v>1.17</v>
      </c>
      <c r="H13" s="2915">
        <v>0.55000000000000004</v>
      </c>
      <c r="I13" s="2008">
        <f t="shared" si="4"/>
        <v>7.0000000000000007E-2</v>
      </c>
      <c r="J13" s="2904"/>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4"/>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4"/>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3" t="s">
        <v>2815</v>
      </c>
      <c r="B14" s="2031">
        <v>2021</v>
      </c>
      <c r="C14" s="2042">
        <v>3</v>
      </c>
      <c r="D14" s="2007">
        <v>0.47</v>
      </c>
      <c r="E14" s="2007">
        <v>0.41</v>
      </c>
      <c r="F14" s="2007">
        <v>0.24</v>
      </c>
      <c r="G14" s="2007">
        <v>0.48</v>
      </c>
      <c r="H14" s="2915">
        <v>0.48</v>
      </c>
      <c r="I14" s="2008">
        <f t="shared" si="4"/>
        <v>0.24</v>
      </c>
      <c r="J14" s="2904"/>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4"/>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4"/>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3" t="s">
        <v>2816</v>
      </c>
      <c r="B15" s="2031">
        <v>2021</v>
      </c>
      <c r="C15" s="2042">
        <v>2</v>
      </c>
      <c r="D15" s="2007">
        <v>0.92</v>
      </c>
      <c r="E15" s="2007">
        <v>0.72</v>
      </c>
      <c r="F15" s="2007">
        <v>0.41</v>
      </c>
      <c r="G15" s="2007">
        <v>0.95</v>
      </c>
      <c r="H15" s="2915">
        <v>1.01</v>
      </c>
      <c r="I15" s="2008">
        <f t="shared" si="4"/>
        <v>0.41</v>
      </c>
      <c r="J15" s="2904"/>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4"/>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4"/>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6" customFormat="1" thickBot="1">
      <c r="A16" s="2916" t="s">
        <v>2817</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1" t="s">
        <v>3362</v>
      </c>
    </row>
    <row r="19" spans="1:30">
      <c r="I19" s="1405" t="s">
        <v>2818</v>
      </c>
    </row>
    <row r="21" spans="1:30" s="2009" customFormat="1" ht="12.75">
      <c r="B21" s="2927" t="s">
        <v>2819</v>
      </c>
      <c r="C21" s="2928"/>
      <c r="D21" s="2928"/>
      <c r="E21" s="2928"/>
      <c r="F21" s="2928"/>
      <c r="G21" s="2928"/>
      <c r="H21" s="2928"/>
      <c r="I21" s="2928"/>
      <c r="J21" s="2894"/>
      <c r="K21" s="2928" t="s">
        <v>2820</v>
      </c>
      <c r="L21" s="2928"/>
      <c r="M21" s="2928"/>
      <c r="N21" s="2928"/>
      <c r="O21" s="2928"/>
      <c r="P21" s="2928"/>
      <c r="Q21" s="2894"/>
      <c r="R21" s="3490" t="s">
        <v>2821</v>
      </c>
      <c r="S21" s="3491"/>
      <c r="T21" s="3491"/>
      <c r="U21" s="3491"/>
      <c r="V21" s="3491"/>
      <c r="W21" s="3491"/>
      <c r="X21" s="2894"/>
      <c r="Y21" s="3490" t="s">
        <v>2822</v>
      </c>
      <c r="Z21" s="3491"/>
      <c r="AA21" s="3491"/>
      <c r="AB21" s="3491"/>
      <c r="AC21" s="3491"/>
      <c r="AD21" s="3491"/>
    </row>
    <row r="22" spans="1:30" s="2010" customFormat="1" ht="14.25" thickBot="1">
      <c r="B22" s="2879"/>
      <c r="C22" s="2880"/>
      <c r="D22" s="2011" t="s">
        <v>2823</v>
      </c>
      <c r="E22" s="2012" t="s">
        <v>2824</v>
      </c>
      <c r="F22" s="2012" t="s">
        <v>2825</v>
      </c>
      <c r="G22" s="2012" t="s">
        <v>2826</v>
      </c>
      <c r="H22" s="2012"/>
      <c r="I22" s="2012" t="s">
        <v>2827</v>
      </c>
      <c r="J22" s="2881"/>
      <c r="K22" s="2011" t="s">
        <v>2823</v>
      </c>
      <c r="L22" s="2012" t="s">
        <v>2824</v>
      </c>
      <c r="M22" s="2012" t="s">
        <v>2825</v>
      </c>
      <c r="N22" s="2012" t="s">
        <v>2826</v>
      </c>
      <c r="O22" s="2012"/>
      <c r="P22" s="2012" t="s">
        <v>2827</v>
      </c>
      <c r="Q22" s="2881"/>
      <c r="R22" s="2011" t="s">
        <v>2823</v>
      </c>
      <c r="S22" s="2012" t="s">
        <v>2824</v>
      </c>
      <c r="T22" s="2012" t="s">
        <v>2825</v>
      </c>
      <c r="U22" s="2012" t="s">
        <v>2826</v>
      </c>
      <c r="V22" s="2012"/>
      <c r="W22" s="2012" t="s">
        <v>2827</v>
      </c>
      <c r="X22" s="2881"/>
      <c r="Y22" s="2011" t="s">
        <v>2823</v>
      </c>
      <c r="Z22" s="2012" t="s">
        <v>2824</v>
      </c>
      <c r="AA22" s="2012" t="s">
        <v>2825</v>
      </c>
      <c r="AB22" s="2012" t="s">
        <v>2826</v>
      </c>
      <c r="AC22" s="2012"/>
      <c r="AD22" s="2012" t="s">
        <v>2827</v>
      </c>
    </row>
    <row r="23" spans="1:30" s="2884" customFormat="1" ht="12.75">
      <c r="A23" s="2882" t="s">
        <v>2828</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9" customFormat="1" ht="12.75">
      <c r="B24" s="2025"/>
      <c r="J24" s="2894"/>
      <c r="K24" s="2895"/>
      <c r="L24" s="2896"/>
      <c r="M24" s="2896"/>
      <c r="N24" s="2896"/>
      <c r="O24" s="2896"/>
      <c r="P24" s="2896"/>
      <c r="Q24" s="2894"/>
      <c r="R24" s="2027"/>
      <c r="S24" s="2897"/>
      <c r="T24" s="2898"/>
      <c r="U24" s="2027"/>
      <c r="V24" s="2899"/>
      <c r="W24" s="2027"/>
      <c r="X24" s="2894"/>
      <c r="Y24" s="2028"/>
      <c r="Z24" s="2900"/>
      <c r="AA24" s="2901"/>
      <c r="AB24" s="2028"/>
      <c r="AC24" s="2902"/>
      <c r="AD24" s="2028"/>
    </row>
    <row r="25" spans="1:30" s="2045" customFormat="1" ht="12.75">
      <c r="A25" s="2903" t="s">
        <v>3365</v>
      </c>
      <c r="B25" s="2031">
        <v>2023</v>
      </c>
      <c r="C25" s="2042">
        <v>4</v>
      </c>
      <c r="D25" s="2007"/>
      <c r="E25" s="2007">
        <v>0</v>
      </c>
      <c r="F25" s="2007">
        <v>0</v>
      </c>
      <c r="G25" s="2007">
        <v>0</v>
      </c>
      <c r="H25" s="2007"/>
      <c r="I25" s="2008">
        <f t="shared" ref="I25:I36" si="26">F25</f>
        <v>0</v>
      </c>
      <c r="J25" s="2904"/>
      <c r="K25" s="2043"/>
      <c r="L25" s="2028">
        <f t="shared" ref="L25:N36" si="27">E25/100</f>
        <v>0</v>
      </c>
      <c r="M25" s="2028">
        <f t="shared" si="27"/>
        <v>0</v>
      </c>
      <c r="N25" s="2028">
        <f t="shared" si="27"/>
        <v>0</v>
      </c>
      <c r="O25" s="2028"/>
      <c r="P25" s="2028">
        <f>M25</f>
        <v>0</v>
      </c>
      <c r="Q25" s="2904"/>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4"/>
      <c r="Y25" s="2028"/>
      <c r="Z25" s="2900">
        <f>IF(E25=0,0,ROUND(AVERAGE(E25:E36)/100,4))</f>
        <v>0</v>
      </c>
      <c r="AA25" s="2900">
        <f>IF(F25=0,0,ROUND(AVERAGE(F25:F36)/100,4))</f>
        <v>0</v>
      </c>
      <c r="AB25" s="2900">
        <f>IF(G25=0,0,ROUND(AVERAGE(G25:G36)/100,4))</f>
        <v>0</v>
      </c>
      <c r="AC25" s="2902"/>
      <c r="AD25" s="2028">
        <f>IF(I25=0,0,ROUND(AVERAGE(I25:I36)/100,4))</f>
        <v>0</v>
      </c>
    </row>
    <row r="26" spans="1:30" s="2045" customFormat="1" ht="12.75">
      <c r="A26" s="2903" t="s">
        <v>3366</v>
      </c>
      <c r="B26" s="2031">
        <v>2023</v>
      </c>
      <c r="C26" s="2042">
        <v>3</v>
      </c>
      <c r="D26" s="2007"/>
      <c r="E26" s="2007">
        <v>0</v>
      </c>
      <c r="F26" s="2007">
        <v>0</v>
      </c>
      <c r="G26" s="2007">
        <v>0</v>
      </c>
      <c r="H26" s="2915"/>
      <c r="I26" s="2008">
        <f t="shared" si="26"/>
        <v>0</v>
      </c>
      <c r="J26" s="2904"/>
      <c r="K26" s="2043"/>
      <c r="L26" s="2028">
        <f t="shared" ref="L26:L28" si="28">E26/100</f>
        <v>0</v>
      </c>
      <c r="M26" s="2028">
        <f t="shared" ref="M26:M28" si="29">F26/100</f>
        <v>0</v>
      </c>
      <c r="N26" s="2028">
        <f t="shared" ref="N26:N28" si="30">G26/100</f>
        <v>0</v>
      </c>
      <c r="O26" s="2028"/>
      <c r="P26" s="2028">
        <f t="shared" ref="P26:P28" si="31">M26</f>
        <v>0</v>
      </c>
      <c r="Q26" s="2904"/>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4"/>
      <c r="Y26" s="2028"/>
      <c r="Z26" s="2900"/>
      <c r="AA26" s="2028"/>
      <c r="AB26" s="2028"/>
      <c r="AC26" s="2902"/>
      <c r="AD26" s="2028"/>
    </row>
    <row r="27" spans="1:30" s="2045" customFormat="1" ht="12.75">
      <c r="A27" s="2903" t="s">
        <v>3364</v>
      </c>
      <c r="B27" s="2031">
        <v>2023</v>
      </c>
      <c r="C27" s="2042">
        <v>2</v>
      </c>
      <c r="D27" s="2007"/>
      <c r="E27" s="2007">
        <v>0</v>
      </c>
      <c r="F27" s="2007">
        <v>0</v>
      </c>
      <c r="G27" s="2007">
        <v>0</v>
      </c>
      <c r="H27" s="2915"/>
      <c r="I27" s="2008">
        <f t="shared" si="26"/>
        <v>0</v>
      </c>
      <c r="J27" s="2904"/>
      <c r="K27" s="2043"/>
      <c r="L27" s="2028">
        <f t="shared" si="28"/>
        <v>0</v>
      </c>
      <c r="M27" s="2028">
        <f t="shared" si="29"/>
        <v>0</v>
      </c>
      <c r="N27" s="2028">
        <f t="shared" si="30"/>
        <v>0</v>
      </c>
      <c r="O27" s="2028"/>
      <c r="P27" s="2028">
        <f t="shared" si="31"/>
        <v>0</v>
      </c>
      <c r="Q27" s="2904"/>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4"/>
      <c r="Y27" s="2028"/>
      <c r="Z27" s="2900"/>
      <c r="AA27" s="2028"/>
      <c r="AB27" s="2028"/>
      <c r="AC27" s="2902"/>
      <c r="AD27" s="2028"/>
    </row>
    <row r="28" spans="1:30" s="2045" customFormat="1" ht="12.75">
      <c r="A28" s="2903" t="s">
        <v>2811</v>
      </c>
      <c r="B28" s="2031">
        <v>2023</v>
      </c>
      <c r="C28" s="2042">
        <v>1</v>
      </c>
      <c r="D28" s="2007"/>
      <c r="E28" s="2007">
        <v>0</v>
      </c>
      <c r="F28" s="2007">
        <v>0</v>
      </c>
      <c r="G28" s="2007">
        <v>0</v>
      </c>
      <c r="H28" s="2915"/>
      <c r="I28" s="2008">
        <f t="shared" si="26"/>
        <v>0</v>
      </c>
      <c r="J28" s="2904"/>
      <c r="K28" s="2043"/>
      <c r="L28" s="2028">
        <f t="shared" si="28"/>
        <v>0</v>
      </c>
      <c r="M28" s="2028">
        <f t="shared" si="29"/>
        <v>0</v>
      </c>
      <c r="N28" s="2028">
        <f t="shared" si="30"/>
        <v>0</v>
      </c>
      <c r="O28" s="2028"/>
      <c r="P28" s="2028">
        <f t="shared" si="31"/>
        <v>0</v>
      </c>
      <c r="Q28" s="2904"/>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4"/>
      <c r="Y28" s="2028"/>
      <c r="Z28" s="2900"/>
      <c r="AA28" s="2028"/>
      <c r="AB28" s="2028"/>
      <c r="AC28" s="2902"/>
      <c r="AD28" s="2028"/>
    </row>
    <row r="29" spans="1:30" s="2914" customFormat="1" ht="12.75">
      <c r="A29" s="2905" t="s">
        <v>3360</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f>ROUND(IF([2]项目基本情况!$B$8="出让",SUMPRODUCT(PRODUCT(1+L29:L$36)),SUMPRODUCT(PRODUCT(1+L29:L$35))),4)</f>
        <v>1.0286999999999999</v>
      </c>
      <c r="T29" s="2911">
        <f>ROUND(IF([2]项目基本情况!$B$8="出让",SUMPRODUCT(PRODUCT(1+M29:M$36)),SUMPRODUCT(PRODUCT(1+M29:M$35))),4)</f>
        <v>1.0164</v>
      </c>
      <c r="U29" s="2911">
        <f>ROUND(IF([2]项目基本情况!$B$8="出让",SUMPRODUCT(PRODUCT(1+N29:N$36)),SUMPRODUCT(PRODUCT(1+N29:N$35))),4)</f>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5" customFormat="1" ht="12.75">
      <c r="A30" s="2903" t="s">
        <v>3361</v>
      </c>
      <c r="B30" s="2031">
        <v>2022</v>
      </c>
      <c r="C30" s="2042">
        <v>3</v>
      </c>
      <c r="D30" s="2007"/>
      <c r="E30" s="2007">
        <v>0.3</v>
      </c>
      <c r="F30" s="2007">
        <v>0.28999999999999998</v>
      </c>
      <c r="G30" s="2007">
        <v>0.83</v>
      </c>
      <c r="H30" s="2915"/>
      <c r="I30" s="2008">
        <f t="shared" si="26"/>
        <v>0.28999999999999998</v>
      </c>
      <c r="J30" s="2904"/>
      <c r="K30" s="2043"/>
      <c r="L30" s="2028">
        <f t="shared" si="27"/>
        <v>3.0000000000000001E-3</v>
      </c>
      <c r="M30" s="2028">
        <f t="shared" si="27"/>
        <v>2.8999999999999998E-3</v>
      </c>
      <c r="N30" s="2028">
        <f t="shared" si="27"/>
        <v>8.3000000000000001E-3</v>
      </c>
      <c r="O30" s="2028"/>
      <c r="P30" s="2028">
        <f t="shared" si="33"/>
        <v>2.8999999999999998E-3</v>
      </c>
      <c r="Q30" s="2904"/>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4"/>
      <c r="Y30" s="2028"/>
      <c r="Z30" s="2900">
        <f t="shared" si="35"/>
        <v>3.8999999999999998E-3</v>
      </c>
      <c r="AA30" s="2901">
        <f t="shared" si="35"/>
        <v>2.7000000000000001E-3</v>
      </c>
      <c r="AB30" s="2028">
        <f t="shared" si="35"/>
        <v>7.9000000000000008E-3</v>
      </c>
      <c r="AC30" s="2902"/>
      <c r="AD30" s="2028">
        <f t="shared" si="35"/>
        <v>2.7000000000000001E-3</v>
      </c>
    </row>
    <row r="31" spans="1:30" s="2045" customFormat="1" ht="12.75">
      <c r="A31" s="2903" t="s">
        <v>3350</v>
      </c>
      <c r="B31" s="2031">
        <v>2022</v>
      </c>
      <c r="C31" s="2042">
        <v>2</v>
      </c>
      <c r="D31" s="2007"/>
      <c r="E31" s="2007">
        <v>-0.11</v>
      </c>
      <c r="F31" s="2007">
        <v>-0.13</v>
      </c>
      <c r="G31" s="2007">
        <v>0.53</v>
      </c>
      <c r="H31" s="2915"/>
      <c r="I31" s="2008">
        <f t="shared" si="26"/>
        <v>-0.13</v>
      </c>
      <c r="J31" s="2904"/>
      <c r="K31" s="2043"/>
      <c r="L31" s="2028">
        <f t="shared" si="27"/>
        <v>-1.1000000000000001E-3</v>
      </c>
      <c r="M31" s="2028">
        <f t="shared" si="27"/>
        <v>-1.2999999999999999E-3</v>
      </c>
      <c r="N31" s="2028">
        <f t="shared" si="27"/>
        <v>5.3E-3</v>
      </c>
      <c r="O31" s="2028"/>
      <c r="P31" s="2028">
        <f t="shared" si="33"/>
        <v>-1.2999999999999999E-3</v>
      </c>
      <c r="Q31" s="2904"/>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4"/>
      <c r="Y31" s="2028"/>
      <c r="Z31" s="2900">
        <f t="shared" si="35"/>
        <v>4.1000000000000003E-3</v>
      </c>
      <c r="AA31" s="2901">
        <f t="shared" si="35"/>
        <v>2.7000000000000001E-3</v>
      </c>
      <c r="AB31" s="2028">
        <f t="shared" si="35"/>
        <v>7.9000000000000008E-3</v>
      </c>
      <c r="AC31" s="2902"/>
      <c r="AD31" s="2028">
        <f t="shared" si="35"/>
        <v>2.7000000000000001E-3</v>
      </c>
    </row>
    <row r="32" spans="1:30" s="2045" customFormat="1" ht="12.75">
      <c r="A32" s="2903" t="s">
        <v>2829</v>
      </c>
      <c r="B32" s="2031">
        <v>2022</v>
      </c>
      <c r="C32" s="2042">
        <v>1</v>
      </c>
      <c r="D32" s="2007"/>
      <c r="E32" s="2007">
        <v>0.6</v>
      </c>
      <c r="F32" s="2007">
        <v>0.45</v>
      </c>
      <c r="G32" s="2007">
        <v>0.53</v>
      </c>
      <c r="H32" s="2915"/>
      <c r="I32" s="2008">
        <f t="shared" si="26"/>
        <v>0.45</v>
      </c>
      <c r="J32" s="2904"/>
      <c r="K32" s="2043"/>
      <c r="L32" s="2028">
        <f t="shared" si="27"/>
        <v>6.0000000000000001E-3</v>
      </c>
      <c r="M32" s="2028">
        <f t="shared" si="27"/>
        <v>4.5000000000000005E-3</v>
      </c>
      <c r="N32" s="2028">
        <f t="shared" si="27"/>
        <v>5.3E-3</v>
      </c>
      <c r="O32" s="2028"/>
      <c r="P32" s="2028">
        <f t="shared" si="33"/>
        <v>4.5000000000000005E-3</v>
      </c>
      <c r="Q32" s="2904"/>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4"/>
      <c r="Y32" s="2028"/>
      <c r="Z32" s="2900">
        <f t="shared" si="35"/>
        <v>5.1000000000000004E-3</v>
      </c>
      <c r="AA32" s="2901">
        <f t="shared" si="35"/>
        <v>3.5000000000000001E-3</v>
      </c>
      <c r="AB32" s="2028">
        <f t="shared" si="35"/>
        <v>8.3999999999999995E-3</v>
      </c>
      <c r="AC32" s="2902"/>
      <c r="AD32" s="2028">
        <f t="shared" si="35"/>
        <v>3.5000000000000001E-3</v>
      </c>
    </row>
    <row r="33" spans="1:30" s="2045" customFormat="1" ht="12.75">
      <c r="A33" s="2903" t="s">
        <v>2830</v>
      </c>
      <c r="B33" s="2031">
        <v>2021</v>
      </c>
      <c r="C33" s="2042">
        <v>4</v>
      </c>
      <c r="D33" s="2007"/>
      <c r="E33" s="2007">
        <v>0.57999999999999996</v>
      </c>
      <c r="F33" s="2007">
        <v>0.08</v>
      </c>
      <c r="G33" s="2007">
        <v>0.68</v>
      </c>
      <c r="H33" s="2915"/>
      <c r="I33" s="2008">
        <f t="shared" si="26"/>
        <v>0.08</v>
      </c>
      <c r="J33" s="2904"/>
      <c r="K33" s="2043"/>
      <c r="L33" s="2028">
        <f t="shared" si="27"/>
        <v>5.7999999999999996E-3</v>
      </c>
      <c r="M33" s="2028">
        <f t="shared" si="27"/>
        <v>8.0000000000000004E-4</v>
      </c>
      <c r="N33" s="2028">
        <f t="shared" si="27"/>
        <v>6.8000000000000005E-3</v>
      </c>
      <c r="O33" s="2028"/>
      <c r="P33" s="2028">
        <f t="shared" si="33"/>
        <v>8.0000000000000004E-4</v>
      </c>
      <c r="Q33" s="2904"/>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4"/>
      <c r="Y33" s="2028"/>
      <c r="Z33" s="2900">
        <f t="shared" si="35"/>
        <v>4.8999999999999998E-3</v>
      </c>
      <c r="AA33" s="2901">
        <f t="shared" si="35"/>
        <v>3.3E-3</v>
      </c>
      <c r="AB33" s="2028">
        <f t="shared" si="35"/>
        <v>9.1999999999999998E-3</v>
      </c>
      <c r="AC33" s="2902"/>
      <c r="AD33" s="2028">
        <f t="shared" si="35"/>
        <v>3.3E-3</v>
      </c>
    </row>
    <row r="34" spans="1:30" s="2045" customFormat="1" ht="12.75">
      <c r="A34" s="2903" t="s">
        <v>2831</v>
      </c>
      <c r="B34" s="2031">
        <v>2021</v>
      </c>
      <c r="C34" s="2042">
        <v>3</v>
      </c>
      <c r="D34" s="2007"/>
      <c r="E34" s="2007">
        <v>0.47</v>
      </c>
      <c r="F34" s="2007">
        <v>0.28000000000000003</v>
      </c>
      <c r="G34" s="2007">
        <v>0.91</v>
      </c>
      <c r="H34" s="2915"/>
      <c r="I34" s="2008">
        <f t="shared" si="26"/>
        <v>0.28000000000000003</v>
      </c>
      <c r="J34" s="2904"/>
      <c r="K34" s="2043"/>
      <c r="L34" s="2028">
        <f t="shared" si="27"/>
        <v>4.6999999999999993E-3</v>
      </c>
      <c r="M34" s="2028">
        <f t="shared" si="27"/>
        <v>2.8000000000000004E-3</v>
      </c>
      <c r="N34" s="2028">
        <f t="shared" si="27"/>
        <v>9.1000000000000004E-3</v>
      </c>
      <c r="O34" s="2028"/>
      <c r="P34" s="2028">
        <f t="shared" si="33"/>
        <v>2.8000000000000004E-3</v>
      </c>
      <c r="Q34" s="2904"/>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4"/>
      <c r="Y34" s="2028"/>
      <c r="Z34" s="2900">
        <f t="shared" si="35"/>
        <v>4.5999999999999999E-3</v>
      </c>
      <c r="AA34" s="2901">
        <f t="shared" si="35"/>
        <v>4.1000000000000003E-3</v>
      </c>
      <c r="AB34" s="2028">
        <f t="shared" si="35"/>
        <v>0.01</v>
      </c>
      <c r="AC34" s="2902"/>
      <c r="AD34" s="2028">
        <f t="shared" si="35"/>
        <v>4.1000000000000003E-3</v>
      </c>
    </row>
    <row r="35" spans="1:30" s="2045" customFormat="1" ht="12.75">
      <c r="A35" s="2903" t="s">
        <v>2832</v>
      </c>
      <c r="B35" s="2031">
        <v>2021</v>
      </c>
      <c r="C35" s="2042">
        <v>2</v>
      </c>
      <c r="D35" s="2007"/>
      <c r="E35" s="2007">
        <v>0.55000000000000004</v>
      </c>
      <c r="F35" s="2007">
        <v>0.46</v>
      </c>
      <c r="G35" s="2007">
        <v>1.1000000000000001</v>
      </c>
      <c r="H35" s="2915"/>
      <c r="I35" s="2008">
        <f t="shared" si="26"/>
        <v>0.46</v>
      </c>
      <c r="J35" s="2904"/>
      <c r="K35" s="2043"/>
      <c r="L35" s="2028">
        <f t="shared" si="27"/>
        <v>5.5000000000000005E-3</v>
      </c>
      <c r="M35" s="2028">
        <f t="shared" si="27"/>
        <v>4.5999999999999999E-3</v>
      </c>
      <c r="N35" s="2028">
        <f t="shared" si="27"/>
        <v>1.1000000000000001E-2</v>
      </c>
      <c r="O35" s="2028"/>
      <c r="P35" s="2028">
        <f t="shared" si="33"/>
        <v>4.5999999999999999E-3</v>
      </c>
      <c r="Q35" s="2904"/>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4"/>
      <c r="Y35" s="2028"/>
      <c r="Z35" s="2900">
        <f t="shared" si="35"/>
        <v>4.4999999999999997E-3</v>
      </c>
      <c r="AA35" s="2901">
        <f t="shared" si="35"/>
        <v>4.7000000000000002E-3</v>
      </c>
      <c r="AB35" s="2028">
        <f t="shared" si="35"/>
        <v>1.04E-2</v>
      </c>
      <c r="AC35" s="2902"/>
      <c r="AD35" s="2028">
        <f t="shared" si="35"/>
        <v>4.7000000000000002E-3</v>
      </c>
    </row>
    <row r="36" spans="1:30" s="2926" customFormat="1" thickBot="1">
      <c r="A36" s="2916" t="s">
        <v>2817</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N18" sqref="N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45009</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2301</v>
      </c>
      <c r="C21" s="1207">
        <v>43697</v>
      </c>
      <c r="D21" s="2572">
        <v>4.25</v>
      </c>
      <c r="E21" s="2572">
        <v>4.25</v>
      </c>
      <c r="F21" s="2572">
        <v>4.25</v>
      </c>
      <c r="G21" s="2572">
        <v>4.25</v>
      </c>
      <c r="H21" s="2572">
        <v>4.8499999999999996</v>
      </c>
      <c r="I21" s="2572"/>
      <c r="J21" s="2572"/>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4"/>
      <c r="B22" s="2575"/>
      <c r="C22" s="2576">
        <v>42301</v>
      </c>
      <c r="D22" s="2577">
        <v>4.3499999999999996</v>
      </c>
      <c r="E22" s="2577">
        <v>4.3499999999999996</v>
      </c>
      <c r="F22" s="2577">
        <v>4.75</v>
      </c>
      <c r="G22" s="2577">
        <v>4.75</v>
      </c>
      <c r="H22" s="2577">
        <v>4.9000000000000004</v>
      </c>
      <c r="I22" s="2577"/>
      <c r="J22" s="2577"/>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801" t="s">
        <v>925</v>
      </c>
      <c r="E3" s="801" t="s">
        <v>931</v>
      </c>
      <c r="F3" s="801" t="s">
        <v>925</v>
      </c>
      <c r="G3" s="801" t="s">
        <v>926</v>
      </c>
      <c r="H3" s="801" t="s">
        <v>925</v>
      </c>
      <c r="I3" s="801" t="s">
        <v>926</v>
      </c>
    </row>
    <row r="4" spans="1:9" ht="15">
      <c r="A4" s="1403" t="str">
        <f>项目基本情况!S2</f>
        <v>北京市12号楼房地产</v>
      </c>
      <c r="B4" s="801">
        <f>项目基本情况!C17</f>
        <v>1590.73</v>
      </c>
      <c r="C4" s="801">
        <f>项目基本情况!C18</f>
        <v>0</v>
      </c>
      <c r="D4" s="801">
        <f ca="1">结果表!D118</f>
        <v>313</v>
      </c>
      <c r="E4" s="801">
        <f ca="1">结果表!E118</f>
        <v>1970</v>
      </c>
      <c r="F4" s="801">
        <f ca="1">结果表!F118</f>
        <v>749</v>
      </c>
      <c r="G4" s="801">
        <f ca="1">结果表!G118</f>
        <v>4708</v>
      </c>
      <c r="H4" s="801">
        <f ca="1">结果表!H118</f>
        <v>1062</v>
      </c>
      <c r="I4" s="801">
        <f ca="1">结果表!I118</f>
        <v>6678</v>
      </c>
    </row>
    <row r="5" spans="1:9" ht="30" customHeight="1">
      <c r="A5" s="3175" t="s">
        <v>927</v>
      </c>
      <c r="B5" s="3175"/>
      <c r="C5" s="3175"/>
      <c r="D5" s="3175" t="str">
        <f ca="1">结果表!D119</f>
        <v>叁佰壹拾叁万元整</v>
      </c>
      <c r="E5" s="3175"/>
      <c r="F5" s="3175" t="str">
        <f ca="1">结果表!F119</f>
        <v>柒佰肆拾玖万元整</v>
      </c>
      <c r="G5" s="3175"/>
      <c r="H5" s="3175" t="str">
        <f ca="1">结果表!H119</f>
        <v>壹仟零陆拾贰万元整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f ca="1">结果表!D122</f>
        <v>1062</v>
      </c>
      <c r="E8" s="3176"/>
      <c r="F8" s="3176"/>
      <c r="G8" s="3176"/>
      <c r="H8" s="3176"/>
      <c r="I8" s="3176"/>
    </row>
    <row r="9" spans="1:9" ht="15">
      <c r="A9" s="3175" t="s">
        <v>927</v>
      </c>
      <c r="B9" s="3175"/>
      <c r="C9" s="3175"/>
      <c r="D9" s="3175" t="str">
        <f ca="1">结果表!D123</f>
        <v>壹仟零陆拾贰万元整</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45013</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f ca="1">IF(C6&lt;B2,"已过期",1120050019)</f>
        <v>1120050019</v>
      </c>
      <c r="C6" s="2162">
        <v>45410</v>
      </c>
      <c r="D6" s="2163" t="str">
        <f t="shared" ca="1" si="0"/>
        <v>王鹏（注册号：1120050019）</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f ca="1">IF(C13&lt;B2,"已过期",1120020033)</f>
        <v>1120020033</v>
      </c>
      <c r="C13" s="2162">
        <v>45375</v>
      </c>
      <c r="D13" s="2163" t="str">
        <f t="shared" ca="1" si="0"/>
        <v>刘敬东（注册号：1120020033）</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2159</v>
      </c>
      <c r="B17" s="3199"/>
      <c r="C17" s="3199"/>
      <c r="D17" s="3199"/>
      <c r="E17" s="3199"/>
      <c r="F17" s="3199"/>
      <c r="G17" s="3199"/>
      <c r="H17" s="3199"/>
    </row>
    <row r="18" spans="1:8" ht="24" customHeight="1">
      <c r="A18" s="3200" t="s">
        <v>2160</v>
      </c>
      <c r="B18" s="3200"/>
      <c r="C18" s="3200"/>
      <c r="D18" s="2160"/>
      <c r="E18" s="3201" t="s">
        <v>2161</v>
      </c>
      <c r="F18" s="3200"/>
      <c r="G18" s="320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2023-03-28T01:35:16Z</dcterms:modified>
</cp:coreProperties>
</file>