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960" yWindow="495" windowWidth="12600" windowHeight="1152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state="hidden" r:id="rId24"/>
    <sheet name="收益法"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S16" i="80" l="1"/>
  <c r="N6" i="1"/>
  <c r="P29" i="80" l="1"/>
  <c r="G19" i="6"/>
  <c r="F19" i="6"/>
  <c r="P31" i="80"/>
  <c r="Q34" i="80"/>
  <c r="Q33" i="80"/>
  <c r="O34" i="80"/>
  <c r="O33" i="80"/>
  <c r="O30" i="80"/>
  <c r="O29" i="80"/>
  <c r="O25" i="80"/>
  <c r="O24" i="80"/>
  <c r="J49" i="15"/>
  <c r="I7" i="6"/>
  <c r="N14" i="1"/>
  <c r="L14" i="1"/>
  <c r="K14" i="3"/>
  <c r="I14" i="3" s="1"/>
  <c r="O28" i="80" s="1"/>
  <c r="K13" i="3"/>
  <c r="I13" i="3" s="1"/>
  <c r="O23" i="80" s="1"/>
  <c r="P26" i="80" s="1"/>
  <c r="J2" i="80"/>
  <c r="S18" i="80"/>
  <c r="O9" i="80"/>
  <c r="P9" i="80" s="1"/>
  <c r="N6" i="80"/>
  <c r="P6" i="80" s="1"/>
  <c r="N5" i="80"/>
  <c r="P5" i="80" s="1"/>
  <c r="I34" i="80"/>
  <c r="H34" i="80"/>
  <c r="F34" i="80"/>
  <c r="E34" i="80"/>
  <c r="D34" i="80"/>
  <c r="G33" i="80"/>
  <c r="F33" i="80"/>
  <c r="G32" i="80"/>
  <c r="F32" i="80"/>
  <c r="G31" i="80"/>
  <c r="F31" i="80"/>
  <c r="G30" i="80"/>
  <c r="F30" i="80"/>
  <c r="G29" i="80"/>
  <c r="F29" i="80"/>
  <c r="G28" i="80"/>
  <c r="F28" i="80"/>
  <c r="G27" i="80"/>
  <c r="F27" i="80"/>
  <c r="G26" i="80"/>
  <c r="F26" i="80"/>
  <c r="G25" i="80"/>
  <c r="F25" i="80"/>
  <c r="G24" i="80"/>
  <c r="F24" i="80"/>
  <c r="G23" i="80"/>
  <c r="F23" i="80"/>
  <c r="G22" i="80"/>
  <c r="F22" i="80"/>
  <c r="G21" i="80"/>
  <c r="F21" i="80"/>
  <c r="G20" i="80"/>
  <c r="F20" i="80"/>
  <c r="G19" i="80"/>
  <c r="F19" i="80"/>
  <c r="G18" i="80"/>
  <c r="F18" i="80"/>
  <c r="G17" i="80"/>
  <c r="F17" i="80"/>
  <c r="G16" i="80"/>
  <c r="F16" i="80"/>
  <c r="G15" i="80"/>
  <c r="F15" i="80"/>
  <c r="G14" i="80"/>
  <c r="F14" i="80"/>
  <c r="G13" i="80"/>
  <c r="F13" i="80"/>
  <c r="G12" i="80"/>
  <c r="F12" i="80"/>
  <c r="G11" i="80"/>
  <c r="F11" i="80"/>
  <c r="G10" i="80"/>
  <c r="F10" i="80"/>
  <c r="G9" i="80"/>
  <c r="F9" i="80"/>
  <c r="G8" i="80"/>
  <c r="F8" i="80"/>
  <c r="G7" i="80"/>
  <c r="F7" i="80"/>
  <c r="G6" i="80"/>
  <c r="F6" i="80"/>
  <c r="G5" i="80"/>
  <c r="G34" i="80" s="1"/>
  <c r="F5" i="80"/>
  <c r="J3" i="80"/>
  <c r="P4" i="80" l="1"/>
  <c r="N4" i="80"/>
  <c r="N10" i="80" l="1"/>
  <c r="N8" i="80"/>
  <c r="P8" i="80" s="1"/>
  <c r="N7" i="80"/>
  <c r="P7" i="80" s="1"/>
  <c r="O4" i="80"/>
  <c r="P10" i="80" l="1"/>
  <c r="O10" i="80" s="1"/>
  <c r="R10" i="80"/>
  <c r="Y6" i="1" l="1"/>
  <c r="B35" i="1"/>
  <c r="B21" i="1"/>
  <c r="D33" i="43"/>
  <c r="D42" i="43"/>
  <c r="D40" i="43"/>
  <c r="U16" i="43"/>
  <c r="C14" i="3"/>
  <c r="C13" i="3"/>
  <c r="G20" i="6"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T34" i="79"/>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Q37" i="71"/>
  <c r="P37" i="71"/>
  <c r="O37" i="71"/>
  <c r="Y37" i="71" s="1"/>
  <c r="Z37" i="71" s="1"/>
  <c r="N37" i="71"/>
  <c r="B38" i="71" s="1"/>
  <c r="D37" i="71"/>
  <c r="Q36" i="71"/>
  <c r="P36" i="71"/>
  <c r="AA35" i="71" s="1"/>
  <c r="O36" i="71"/>
  <c r="N36" i="71"/>
  <c r="Q35" i="71"/>
  <c r="P35" i="71"/>
  <c r="O35" i="71"/>
  <c r="Y35" i="71"/>
  <c r="Z35" i="71" s="1"/>
  <c r="N35" i="71"/>
  <c r="Q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C34" i="71"/>
  <c r="D34" i="71" s="1"/>
  <c r="C35" i="71"/>
  <c r="C36" i="71" s="1"/>
  <c r="X36" i="71"/>
  <c r="C38" i="71"/>
  <c r="D38" i="71" s="1"/>
  <c r="AA38" i="71"/>
  <c r="Y26" i="71"/>
  <c r="Z26" i="71" s="1"/>
  <c r="B28" i="71"/>
  <c r="C31" i="71"/>
  <c r="C32" i="71" s="1"/>
  <c r="D30" i="71"/>
  <c r="C47" i="71"/>
  <c r="D47" i="71" s="1"/>
  <c r="D46"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S18" i="36"/>
  <c r="H25" i="40"/>
  <c r="AB25" i="40" s="1"/>
  <c r="J25" i="40"/>
  <c r="H29" i="39"/>
  <c r="J29" i="39"/>
  <c r="AC29" i="39" s="1"/>
  <c r="J18" i="36"/>
  <c r="AC18" i="36" s="1"/>
  <c r="H18" i="35"/>
  <c r="AB18" i="35" s="1"/>
  <c r="J18" i="35"/>
  <c r="W18" i="35" s="1"/>
  <c r="H21" i="37"/>
  <c r="AB21" i="37" s="1"/>
  <c r="F21" i="37"/>
  <c r="H21" i="34"/>
  <c r="AB21" i="34" s="1"/>
  <c r="H21" i="33"/>
  <c r="U21" i="33" s="1"/>
  <c r="F21" i="33"/>
  <c r="E83" i="21"/>
  <c r="F83" i="21" s="1"/>
  <c r="H1" i="69"/>
  <c r="AC25" i="40"/>
  <c r="W25" i="40"/>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B75" i="35"/>
  <c r="J24" i="35" s="1"/>
  <c r="AC24" i="35" s="1"/>
  <c r="B73" i="35"/>
  <c r="J23" i="35" s="1"/>
  <c r="AC23" i="35" s="1"/>
  <c r="H23" i="35"/>
  <c r="B57" i="35"/>
  <c r="B61" i="35"/>
  <c r="B59" i="35"/>
  <c r="B131" i="34"/>
  <c r="J47" i="34" s="1"/>
  <c r="B129" i="34"/>
  <c r="B127" i="34"/>
  <c r="B99" i="34"/>
  <c r="B97" i="34"/>
  <c r="J31" i="34" s="1"/>
  <c r="B95" i="34"/>
  <c r="B93" i="34"/>
  <c r="B75" i="34"/>
  <c r="B73" i="34"/>
  <c r="H13" i="34" s="1"/>
  <c r="U13" i="34" s="1"/>
  <c r="B71" i="34"/>
  <c r="J12" i="34" s="1"/>
  <c r="W12" i="34" s="1"/>
  <c r="B130" i="33"/>
  <c r="B128" i="33"/>
  <c r="B126" i="33"/>
  <c r="B98" i="33"/>
  <c r="B96" i="33"/>
  <c r="B94" i="33"/>
  <c r="B74" i="33"/>
  <c r="F14" i="33" s="1"/>
  <c r="S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J26" i="33" s="1"/>
  <c r="AC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Q35" i="21"/>
  <c r="Z35" i="21" s="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J35" i="34"/>
  <c r="H39" i="33"/>
  <c r="AB39" i="33" s="1"/>
  <c r="F26" i="33"/>
  <c r="AA26" i="33" s="1"/>
  <c r="U33" i="33"/>
  <c r="U35" i="33"/>
  <c r="S40" i="33"/>
  <c r="W33" i="33"/>
  <c r="W39" i="33"/>
  <c r="H39" i="37"/>
  <c r="AB39" i="37"/>
  <c r="S27" i="35"/>
  <c r="F11" i="40"/>
  <c r="H11" i="40"/>
  <c r="AB11" i="40" s="1"/>
  <c r="AB39" i="40"/>
  <c r="AA9" i="40"/>
  <c r="U9" i="40"/>
  <c r="S34" i="40"/>
  <c r="U38" i="40"/>
  <c r="W31"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H32" i="33"/>
  <c r="AB32" i="33"/>
  <c r="H11" i="21"/>
  <c r="U11" i="21" s="1"/>
  <c r="J11" i="21"/>
  <c r="W11" i="21" s="1"/>
  <c r="H37" i="40"/>
  <c r="U37" i="40"/>
  <c r="H36" i="40"/>
  <c r="AB36" i="40" s="1"/>
  <c r="F35" i="40"/>
  <c r="AA35" i="40" s="1"/>
  <c r="H23" i="40"/>
  <c r="AB23" i="40" s="1"/>
  <c r="H17" i="40"/>
  <c r="U17" i="40"/>
  <c r="J15" i="40"/>
  <c r="W15" i="40" s="1"/>
  <c r="J11" i="40"/>
  <c r="AB8" i="39"/>
  <c r="AC12" i="34"/>
  <c r="AB12" i="35"/>
  <c r="W32" i="40"/>
  <c r="S44" i="39"/>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c r="F41" i="33"/>
  <c r="S41" i="33" s="1"/>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I123" i="21"/>
  <c r="J123" i="21" s="1"/>
  <c r="K123" i="21" s="1"/>
  <c r="L123" i="21" s="1"/>
  <c r="M123" i="21" s="1"/>
  <c r="J42" i="21"/>
  <c r="AC42" i="21"/>
  <c r="H42" i="21"/>
  <c r="U42" i="21" s="1"/>
  <c r="J44" i="34"/>
  <c r="F44" i="34"/>
  <c r="S44" i="34" s="1"/>
  <c r="AA44" i="34"/>
  <c r="J10" i="35"/>
  <c r="AC10" i="35" s="1"/>
  <c r="H28" i="21"/>
  <c r="AB28" i="21" s="1"/>
  <c r="F28" i="21"/>
  <c r="AA28" i="21" s="1"/>
  <c r="J28" i="21"/>
  <c r="W28" i="21" s="1"/>
  <c r="H30" i="21"/>
  <c r="AB30" i="21" s="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30" i="33"/>
  <c r="AB30" i="33"/>
  <c r="F30" i="33"/>
  <c r="J30" i="33"/>
  <c r="J44" i="33"/>
  <c r="J46" i="33"/>
  <c r="AC46" i="33"/>
  <c r="F46" i="33"/>
  <c r="AA46" i="33" s="1"/>
  <c r="H46" i="33"/>
  <c r="AB46" i="33"/>
  <c r="J29" i="34"/>
  <c r="F29" i="34"/>
  <c r="S29" i="34"/>
  <c r="H29" i="34"/>
  <c r="AB29" i="34" s="1"/>
  <c r="H45" i="34"/>
  <c r="U45" i="34" s="1"/>
  <c r="J45" i="34"/>
  <c r="W45" i="34"/>
  <c r="F45" i="34"/>
  <c r="S45"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AA28" i="37" s="1"/>
  <c r="J28" i="37"/>
  <c r="AC28" i="37"/>
  <c r="H28" i="37"/>
  <c r="H38" i="37"/>
  <c r="AB38" i="37" s="1"/>
  <c r="F43" i="39"/>
  <c r="AA43" i="39" s="1"/>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H14" i="40"/>
  <c r="AB14" i="40"/>
  <c r="J14" i="40"/>
  <c r="W14" i="40" s="1"/>
  <c r="F14" i="40"/>
  <c r="AA14" i="40"/>
  <c r="J27" i="37"/>
  <c r="AC27" i="37" s="1"/>
  <c r="U46" i="33"/>
  <c r="AA14" i="33"/>
  <c r="J36" i="37"/>
  <c r="AC36" i="37"/>
  <c r="J10" i="36"/>
  <c r="AC10" i="36" s="1"/>
  <c r="AB26" i="33"/>
  <c r="S11" i="36"/>
  <c r="AA14" i="34"/>
  <c r="S45" i="33"/>
  <c r="AB45" i="33"/>
  <c r="AC28" i="21"/>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80" i="3"/>
  <c r="BL576" i="3"/>
  <c r="BL572" i="3"/>
  <c r="BL554" i="3"/>
  <c r="BL546" i="3"/>
  <c r="BL542" i="3"/>
  <c r="BL538" i="3"/>
  <c r="BL534" i="3"/>
  <c r="AZ534" i="3" s="1"/>
  <c r="BL530" i="3"/>
  <c r="BL526" i="3"/>
  <c r="BL522" i="3"/>
  <c r="BL516" i="3"/>
  <c r="BL512" i="3"/>
  <c r="BL506" i="3"/>
  <c r="BL502" i="3"/>
  <c r="BL498" i="3"/>
  <c r="AZ498" i="3" s="1"/>
  <c r="BL494" i="3"/>
  <c r="BL582" i="3"/>
  <c r="BL578" i="3"/>
  <c r="BL574" i="3"/>
  <c r="BL570"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BA570" i="3"/>
  <c r="AZ570" i="3" s="1"/>
  <c r="BA564"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AZ500" i="3" s="1"/>
  <c r="BA498" i="3"/>
  <c r="BA496" i="3"/>
  <c r="BA494" i="3"/>
  <c r="AZ494" i="3" s="1"/>
  <c r="BA583" i="3"/>
  <c r="BA581" i="3"/>
  <c r="BA579" i="3"/>
  <c r="BA577" i="3"/>
  <c r="BA575" i="3"/>
  <c r="BA573" i="3"/>
  <c r="BA571" i="3"/>
  <c r="BA565" i="3"/>
  <c r="AZ565" i="3" s="1"/>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7" i="3"/>
  <c r="G565" i="3"/>
  <c r="G563" i="3"/>
  <c r="AC557" i="3"/>
  <c r="BQ557" i="3"/>
  <c r="BQ583" i="3"/>
  <c r="BL583" i="3" s="1"/>
  <c r="BQ581" i="3"/>
  <c r="BL581" i="3"/>
  <c r="BQ579" i="3"/>
  <c r="BL579" i="3"/>
  <c r="BQ577" i="3"/>
  <c r="BL577" i="3" s="1"/>
  <c r="AZ577" i="3" s="1"/>
  <c r="BQ575" i="3"/>
  <c r="BL575" i="3" s="1"/>
  <c r="BQ573" i="3"/>
  <c r="BL573" i="3" s="1"/>
  <c r="BQ571" i="3"/>
  <c r="BL571" i="3"/>
  <c r="BQ569" i="3"/>
  <c r="BQ567" i="3"/>
  <c r="BQ565" i="3"/>
  <c r="BL565" i="3" s="1"/>
  <c r="BQ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W23" i="35"/>
  <c r="U39" i="37"/>
  <c r="AC36" i="34"/>
  <c r="AA13" i="33"/>
  <c r="AC31" i="33"/>
  <c r="AC45"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BL164" i="3"/>
  <c r="G165" i="3"/>
  <c r="BA167" i="3"/>
  <c r="AZ167" i="3" s="1"/>
  <c r="BL168" i="3"/>
  <c r="G169" i="3"/>
  <c r="BA171" i="3"/>
  <c r="BL172" i="3"/>
  <c r="G173" i="3"/>
  <c r="BA175" i="3"/>
  <c r="AZ175" i="3" s="1"/>
  <c r="BL176" i="3"/>
  <c r="G177" i="3"/>
  <c r="BA179" i="3"/>
  <c r="AZ179" i="3" s="1"/>
  <c r="BL180" i="3"/>
  <c r="G181" i="3"/>
  <c r="BA183" i="3"/>
  <c r="BL184" i="3"/>
  <c r="G185" i="3"/>
  <c r="BA187" i="3"/>
  <c r="BL188" i="3"/>
  <c r="AZ188" i="3" s="1"/>
  <c r="G189" i="3"/>
  <c r="BA191" i="3"/>
  <c r="AZ191" i="3"/>
  <c r="BL192" i="3"/>
  <c r="G193" i="3"/>
  <c r="BA195" i="3"/>
  <c r="AZ195" i="3"/>
  <c r="BL196" i="3"/>
  <c r="AZ196" i="3"/>
  <c r="G197" i="3"/>
  <c r="BA199" i="3"/>
  <c r="BL200" i="3"/>
  <c r="G201" i="3"/>
  <c r="BA203" i="3"/>
  <c r="BL204" i="3"/>
  <c r="AZ168" i="3"/>
  <c r="AZ97" i="3"/>
  <c r="AZ105"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BA16" i="3"/>
  <c r="AZ16" i="3" s="1"/>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37" i="3"/>
  <c r="AZ245" i="3"/>
  <c r="AZ257" i="3"/>
  <c r="BA379" i="3"/>
  <c r="AZ379" i="3" s="1"/>
  <c r="BL380" i="3"/>
  <c r="G381" i="3"/>
  <c r="BA383" i="3"/>
  <c r="AZ383" i="3" s="1"/>
  <c r="BL384" i="3"/>
  <c r="AZ384" i="3" s="1"/>
  <c r="G385" i="3"/>
  <c r="BA387" i="3"/>
  <c r="AZ387" i="3" s="1"/>
  <c r="BL388" i="3"/>
  <c r="G389" i="3"/>
  <c r="BA391" i="3"/>
  <c r="BL392" i="3"/>
  <c r="G393" i="3"/>
  <c r="AZ283" i="3"/>
  <c r="BM5" i="3"/>
  <c r="BJ5" i="3"/>
  <c r="BD5" i="3"/>
  <c r="AZ506" i="3"/>
  <c r="AZ496" i="3"/>
  <c r="G548" i="3"/>
  <c r="G538" i="3"/>
  <c r="G520" i="3"/>
  <c r="G502" i="3"/>
  <c r="BN5" i="3"/>
  <c r="BK5" i="3"/>
  <c r="BE5" i="3"/>
  <c r="G17" i="3"/>
  <c r="BA17" i="3"/>
  <c r="BT5" i="3"/>
  <c r="AZ356" i="3"/>
  <c r="BA15" i="3"/>
  <c r="BB5" i="3"/>
  <c r="AZ392" i="3"/>
  <c r="AZ499" i="3"/>
  <c r="G509" i="3"/>
  <c r="BL493" i="3"/>
  <c r="U36" i="40"/>
  <c r="F83" i="43"/>
  <c r="H85" i="43" s="1"/>
  <c r="F50" i="43"/>
  <c r="H54" i="43" s="1"/>
  <c r="F72" i="43"/>
  <c r="H75" i="43" s="1"/>
  <c r="U17" i="39"/>
  <c r="S14" i="35"/>
  <c r="U43" i="21"/>
  <c r="U35" i="2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A20" i="35"/>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240" i="3"/>
  <c r="AZ280" i="3"/>
  <c r="AZ69" i="3"/>
  <c r="AZ86"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W26" i="33"/>
  <c r="W27" i="34"/>
  <c r="AC27" i="34"/>
  <c r="AB33" i="36"/>
  <c r="U33" i="36"/>
  <c r="AC12" i="39"/>
  <c r="W12" i="39"/>
  <c r="AC39" i="40"/>
  <c r="W39" i="40"/>
  <c r="W12" i="33"/>
  <c r="AC12" i="33"/>
  <c r="AA32" i="36"/>
  <c r="S32" i="36"/>
  <c r="AZ473" i="3"/>
  <c r="BL14" i="3"/>
  <c r="U30" i="33"/>
  <c r="W28" i="37"/>
  <c r="F12" i="33"/>
  <c r="S12" i="33" s="1"/>
  <c r="H12" i="39"/>
  <c r="AB12" i="39" s="1"/>
  <c r="F39" i="40"/>
  <c r="AZ367" i="3"/>
  <c r="AZ173" i="3"/>
  <c r="AZ181" i="3"/>
  <c r="B12" i="1"/>
  <c r="E12" i="1" s="1"/>
  <c r="B10" i="1"/>
  <c r="E10" i="1" s="1"/>
  <c r="K12" i="1"/>
  <c r="M12" i="1" s="1"/>
  <c r="S13" i="1"/>
  <c r="AR13" i="1" s="1"/>
  <c r="R13" i="1"/>
  <c r="J51" i="67"/>
  <c r="C42" i="1"/>
  <c r="C24" i="12" s="1"/>
  <c r="AC34" i="33"/>
  <c r="AA34" i="33"/>
  <c r="B41" i="1"/>
  <c r="F32" i="67" s="1"/>
  <c r="F60" i="67"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AA25" i="36"/>
  <c r="S24" i="36"/>
  <c r="U24" i="36"/>
  <c r="U23" i="36"/>
  <c r="AB20" i="36"/>
  <c r="U16" i="36"/>
  <c r="S14" i="36"/>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U32"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H25" i="33"/>
  <c r="F25" i="33"/>
  <c r="J23" i="33"/>
  <c r="AC23" i="33" s="1"/>
  <c r="F85" i="33"/>
  <c r="G85" i="33" s="1"/>
  <c r="H23" i="33"/>
  <c r="AB23" i="33" s="1"/>
  <c r="F81" i="33"/>
  <c r="F19" i="33"/>
  <c r="S19" i="33" s="1"/>
  <c r="W19" i="33"/>
  <c r="J17" i="33"/>
  <c r="F79" i="33"/>
  <c r="G79" i="33" s="1"/>
  <c r="S15" i="33"/>
  <c r="W15" i="33"/>
  <c r="U9" i="33"/>
  <c r="J10" i="33"/>
  <c r="W10" i="33" s="1"/>
  <c r="H10" i="33"/>
  <c r="U10" i="33" s="1"/>
  <c r="AC11" i="33"/>
  <c r="W43" i="21"/>
  <c r="W36" i="21"/>
  <c r="W41" i="21"/>
  <c r="AB39" i="21"/>
  <c r="S39" i="21"/>
  <c r="AA38" i="21"/>
  <c r="AA36" i="21"/>
  <c r="AC40" i="21"/>
  <c r="J15" i="21"/>
  <c r="AC15" i="21" s="1"/>
  <c r="W15" i="21"/>
  <c r="F77" i="21"/>
  <c r="G77" i="21" s="1"/>
  <c r="F23" i="21"/>
  <c r="AA23" i="21" s="1"/>
  <c r="S23" i="21"/>
  <c r="E85" i="21"/>
  <c r="D120" i="9"/>
  <c r="D121" i="9" s="1"/>
  <c r="D7" i="52" s="1"/>
  <c r="C18" i="9"/>
  <c r="D18" i="9" s="1"/>
  <c r="F34" i="67"/>
  <c r="F62" i="67" s="1"/>
  <c r="M20" i="67"/>
  <c r="F34" i="15"/>
  <c r="F62" i="15" s="1"/>
  <c r="BL17" i="3"/>
  <c r="AZ17" i="3"/>
  <c r="BL13" i="3"/>
  <c r="J56" i="9"/>
  <c r="J57" i="9" s="1"/>
  <c r="J59" i="9" s="1"/>
  <c r="J61" i="9" s="1"/>
  <c r="A24" i="51"/>
  <c r="B18" i="72"/>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U43" i="39"/>
  <c r="AB43" i="39"/>
  <c r="AB11" i="39"/>
  <c r="U11" i="39"/>
  <c r="AA27" i="39"/>
  <c r="S27" i="39"/>
  <c r="W17" i="39"/>
  <c r="AC17" i="39"/>
  <c r="W31" i="39"/>
  <c r="AC31" i="39"/>
  <c r="S23" i="39"/>
  <c r="AA45" i="39"/>
  <c r="AB39" i="39"/>
  <c r="W34" i="39"/>
  <c r="U38" i="39"/>
  <c r="S8" i="39"/>
  <c r="S20" i="36"/>
  <c r="AC25" i="36"/>
  <c r="U32" i="36"/>
  <c r="AC20" i="36"/>
  <c r="U25" i="36"/>
  <c r="AB28" i="36"/>
  <c r="AA13" i="36"/>
  <c r="W9" i="36"/>
  <c r="W22" i="36"/>
  <c r="W23" i="36"/>
  <c r="AB20" i="35"/>
  <c r="AC25" i="35"/>
  <c r="U25" i="35"/>
  <c r="S24" i="35"/>
  <c r="U24" i="35"/>
  <c r="W35" i="35"/>
  <c r="AA16" i="35"/>
  <c r="AA35" i="37"/>
  <c r="W36" i="37"/>
  <c r="S27" i="37"/>
  <c r="S28" i="37"/>
  <c r="W32" i="37"/>
  <c r="U36" i="37"/>
  <c r="U38" i="37"/>
  <c r="AB37" i="37"/>
  <c r="AC34" i="37"/>
  <c r="AA31" i="37"/>
  <c r="U19" i="37"/>
  <c r="AA29" i="37"/>
  <c r="U8" i="37"/>
  <c r="AA40" i="34"/>
  <c r="AB40" i="34"/>
  <c r="U19" i="34"/>
  <c r="W19" i="34"/>
  <c r="AB33" i="34"/>
  <c r="AC45" i="34"/>
  <c r="AA30" i="34"/>
  <c r="AB45" i="34"/>
  <c r="U25" i="34"/>
  <c r="AB36" i="34"/>
  <c r="W33" i="34"/>
  <c r="AC32" i="34"/>
  <c r="AC29" i="34"/>
  <c r="W29" i="34"/>
  <c r="W46" i="34"/>
  <c r="AC46" i="34"/>
  <c r="S32" i="34"/>
  <c r="AA32"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U40" i="21"/>
  <c r="AB31" i="21"/>
  <c r="U31" i="21"/>
  <c r="U13" i="21"/>
  <c r="AB13" i="21"/>
  <c r="S35" i="21"/>
  <c r="J37" i="21"/>
  <c r="W37" i="21" s="1"/>
  <c r="H15" i="21"/>
  <c r="U15" i="21"/>
  <c r="J17" i="21"/>
  <c r="AC17" i="21" s="1"/>
  <c r="AC19" i="21"/>
  <c r="W39"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65" i="43"/>
  <c r="B69" i="43"/>
  <c r="D23" i="15"/>
  <c r="D22" i="15"/>
  <c r="E4" i="4"/>
  <c r="B5" i="62" s="1"/>
  <c r="B73" i="72" s="1"/>
  <c r="C4" i="4"/>
  <c r="AA39" i="40"/>
  <c r="S39" i="40"/>
  <c r="AA12" i="33"/>
  <c r="J32" i="39"/>
  <c r="W32" i="39" s="1"/>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c r="J27" i="33"/>
  <c r="W27" i="33" s="1"/>
  <c r="U25" i="33"/>
  <c r="AB25" i="33"/>
  <c r="S25" i="33"/>
  <c r="AA25" i="33"/>
  <c r="I87" i="33"/>
  <c r="J87" i="33" s="1"/>
  <c r="K87" i="33" s="1"/>
  <c r="L87" i="33" s="1"/>
  <c r="M87" i="33" s="1"/>
  <c r="J25" i="33"/>
  <c r="AC25" i="33" s="1"/>
  <c r="U23" i="33"/>
  <c r="F23" i="33"/>
  <c r="H19" i="33"/>
  <c r="AB19" i="33" s="1"/>
  <c r="G81" i="33"/>
  <c r="H17" i="33"/>
  <c r="U17" i="33" s="1"/>
  <c r="F17" i="33"/>
  <c r="S17" i="33" s="1"/>
  <c r="W17" i="33"/>
  <c r="AC17" i="33"/>
  <c r="S37" i="21"/>
  <c r="AB15" i="21"/>
  <c r="J23" i="21"/>
  <c r="W23" i="21" s="1"/>
  <c r="F85" i="21"/>
  <c r="G85" i="21" s="1"/>
  <c r="H23" i="21"/>
  <c r="S13" i="21"/>
  <c r="D6" i="52"/>
  <c r="AP7" i="1"/>
  <c r="AB9" i="21"/>
  <c r="U9" i="21"/>
  <c r="W9" i="21"/>
  <c r="AC9" i="21"/>
  <c r="U32" i="39"/>
  <c r="AC32" i="39"/>
  <c r="AC23" i="37"/>
  <c r="J11" i="37"/>
  <c r="AC11" i="37" s="1"/>
  <c r="H70" i="34"/>
  <c r="I70" i="34" s="1"/>
  <c r="J70" i="34" s="1"/>
  <c r="K70" i="34"/>
  <c r="L70" i="34" s="1"/>
  <c r="M70" i="34" s="1"/>
  <c r="J11" i="34"/>
  <c r="W11" i="34" s="1"/>
  <c r="AC27" i="33"/>
  <c r="W25" i="33"/>
  <c r="U19" i="33"/>
  <c r="AA17" i="33"/>
  <c r="U23" i="21"/>
  <c r="AB23" i="21"/>
  <c r="AC23" i="21"/>
  <c r="H109" i="9"/>
  <c r="M49" i="9" s="1"/>
  <c r="H112" i="9"/>
  <c r="D21" i="53"/>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1" i="76"/>
  <c r="F37" i="15"/>
  <c r="E8" i="76"/>
  <c r="M26" i="67"/>
  <c r="M9" i="67"/>
  <c r="L48" i="15"/>
  <c r="F5" i="73"/>
  <c r="B9" i="76"/>
  <c r="AO13" i="1"/>
  <c r="M22" i="15"/>
  <c r="J15" i="15"/>
  <c r="F6" i="73"/>
  <c r="F43" i="67"/>
  <c r="M29" i="15"/>
  <c r="F40" i="67"/>
  <c r="E7" i="76"/>
  <c r="M28" i="67"/>
  <c r="B12" i="76"/>
  <c r="D6" i="73"/>
  <c r="B10" i="76"/>
  <c r="M22" i="67"/>
  <c r="M6" i="15"/>
  <c r="F16" i="15"/>
  <c r="B8" i="76"/>
  <c r="M26" i="15"/>
  <c r="E13" i="76"/>
  <c r="M8" i="15"/>
  <c r="E11" i="76"/>
  <c r="E9" i="76"/>
  <c r="F26" i="15"/>
  <c r="C76" i="67"/>
  <c r="C76" i="15"/>
  <c r="F7" i="67"/>
  <c r="F42" i="15"/>
  <c r="E2" i="69"/>
  <c r="F16" i="67"/>
  <c r="F7" i="73"/>
  <c r="M23" i="15"/>
  <c r="F8" i="67"/>
  <c r="L47" i="15"/>
  <c r="F36" i="15"/>
  <c r="E2" i="68"/>
  <c r="F26" i="67"/>
  <c r="F9" i="15"/>
  <c r="M6" i="67"/>
  <c r="E12" i="76"/>
  <c r="F3" i="73"/>
  <c r="B7" i="76"/>
  <c r="F38" i="15"/>
  <c r="M24" i="15"/>
  <c r="F43" i="15"/>
  <c r="M23" i="67"/>
  <c r="B13" i="76"/>
  <c r="J15" i="67"/>
  <c r="F36" i="67"/>
  <c r="F8" i="15"/>
  <c r="F4" i="73"/>
  <c r="M8" i="67"/>
  <c r="F38" i="67"/>
  <c r="M24" i="67"/>
  <c r="L47" i="67"/>
  <c r="E10" i="76"/>
  <c r="F6" i="15"/>
  <c r="F40" i="15"/>
  <c r="F20" i="31"/>
  <c r="C40" i="11" l="1"/>
  <c r="C40" i="68"/>
  <c r="BA14" i="3"/>
  <c r="B58" i="43"/>
  <c r="C25" i="39"/>
  <c r="C19" i="39"/>
  <c r="B75" i="43"/>
  <c r="C29" i="39"/>
  <c r="B68" i="43"/>
  <c r="B57" i="43"/>
  <c r="M20" i="15"/>
  <c r="AZ14" i="3"/>
  <c r="BA13" i="3"/>
  <c r="M7" i="1"/>
  <c r="G7" i="1"/>
  <c r="F28" i="15"/>
  <c r="F28" i="67"/>
  <c r="C21" i="68"/>
  <c r="C40" i="69"/>
  <c r="G26" i="12"/>
  <c r="G22" i="69"/>
  <c r="G22" i="11"/>
  <c r="E1" i="73"/>
  <c r="BC5" i="3"/>
  <c r="D22" i="71"/>
  <c r="C21" i="71"/>
  <c r="D21" i="71" s="1"/>
  <c r="U35" i="37"/>
  <c r="AB35" i="37"/>
  <c r="AC35" i="33"/>
  <c r="AA32" i="21"/>
  <c r="S32" i="21"/>
  <c r="AB32" i="21"/>
  <c r="U32" i="21"/>
  <c r="U45" i="21"/>
  <c r="AB45" i="21"/>
  <c r="AA21" i="39"/>
  <c r="S21" i="39"/>
  <c r="F48" i="9"/>
  <c r="O52" i="9" s="1"/>
  <c r="F31" i="12"/>
  <c r="C31" i="12" s="1"/>
  <c r="F30" i="69"/>
  <c r="F48" i="69" s="1"/>
  <c r="D68" i="9"/>
  <c r="F30" i="68"/>
  <c r="F48" i="68" s="1"/>
  <c r="F52" i="9"/>
  <c r="F32" i="15"/>
  <c r="F60" i="15" s="1"/>
  <c r="F54" i="9"/>
  <c r="F30" i="11"/>
  <c r="C48" i="11" s="1"/>
  <c r="M18" i="67"/>
  <c r="M18" i="15"/>
  <c r="AZ199" i="3"/>
  <c r="G557" i="3"/>
  <c r="AC5" i="3"/>
  <c r="AC31" i="34"/>
  <c r="W31" i="34"/>
  <c r="AC47" i="34"/>
  <c r="W47" i="34"/>
  <c r="AC44" i="33"/>
  <c r="W44" i="33"/>
  <c r="W11" i="35"/>
  <c r="AC11" i="35"/>
  <c r="AC44" i="21"/>
  <c r="W44" i="21"/>
  <c r="W11" i="40"/>
  <c r="AC11" i="40"/>
  <c r="H14" i="21"/>
  <c r="J14" i="21"/>
  <c r="AC22" i="35"/>
  <c r="W22" i="35"/>
  <c r="U29" i="35"/>
  <c r="AA25" i="35"/>
  <c r="S16" i="36"/>
  <c r="S19" i="39"/>
  <c r="AZ329" i="3"/>
  <c r="U26" i="37"/>
  <c r="AZ572" i="3"/>
  <c r="AB13" i="37"/>
  <c r="U13" i="37"/>
  <c r="F14" i="21"/>
  <c r="AA11" i="40"/>
  <c r="S11" i="40"/>
  <c r="W35" i="21"/>
  <c r="AC35" i="21"/>
  <c r="H12" i="36"/>
  <c r="J12" i="36"/>
  <c r="F12" i="36"/>
  <c r="H34" i="36"/>
  <c r="J34" i="36"/>
  <c r="W34" i="36" s="1"/>
  <c r="H14" i="37"/>
  <c r="AB14" i="37" s="1"/>
  <c r="F14" i="37"/>
  <c r="J14" i="37"/>
  <c r="W14" i="37" s="1"/>
  <c r="J38" i="37"/>
  <c r="F38" i="37"/>
  <c r="BL564" i="3"/>
  <c r="BL563" i="3"/>
  <c r="BA563" i="3"/>
  <c r="BL562" i="3"/>
  <c r="BA562" i="3"/>
  <c r="BL561" i="3"/>
  <c r="AZ561" i="3" s="1"/>
  <c r="BA561" i="3"/>
  <c r="BL560" i="3"/>
  <c r="BI5" i="3"/>
  <c r="BA560" i="3"/>
  <c r="AZ560" i="3" s="1"/>
  <c r="BR5" i="3"/>
  <c r="BA559" i="3"/>
  <c r="BL558" i="3"/>
  <c r="BH5" i="3"/>
  <c r="BA558" i="3"/>
  <c r="G558" i="3"/>
  <c r="H5" i="3"/>
  <c r="BP5" i="3"/>
  <c r="G29" i="6" s="1"/>
  <c r="BG5" i="3"/>
  <c r="BA557" i="3"/>
  <c r="BS5" i="3"/>
  <c r="BO5" i="3"/>
  <c r="F29" i="6" s="1"/>
  <c r="BF5" i="3"/>
  <c r="BA556" i="3"/>
  <c r="AZ556" i="3" s="1"/>
  <c r="AB34" i="34"/>
  <c r="U34" i="34"/>
  <c r="J14" i="33"/>
  <c r="H14" i="33"/>
  <c r="B62" i="43"/>
  <c r="S40" i="37"/>
  <c r="AB36" i="33"/>
  <c r="AA19" i="33"/>
  <c r="AB46" i="21"/>
  <c r="AB32" i="34"/>
  <c r="AB30" i="34"/>
  <c r="S35" i="35"/>
  <c r="AA43" i="21"/>
  <c r="AA45" i="34"/>
  <c r="AZ364" i="3"/>
  <c r="AA35" i="39"/>
  <c r="S35" i="39"/>
  <c r="BA587" i="3"/>
  <c r="AZ587" i="3" s="1"/>
  <c r="BA586" i="3"/>
  <c r="W38" i="34"/>
  <c r="AC38" i="34"/>
  <c r="BA569" i="3"/>
  <c r="BL568" i="3"/>
  <c r="BA568" i="3"/>
  <c r="BA567" i="3"/>
  <c r="BL566" i="3"/>
  <c r="BA566" i="3"/>
  <c r="AC14" i="34"/>
  <c r="W29" i="36"/>
  <c r="AZ391" i="3"/>
  <c r="AZ362" i="3"/>
  <c r="S11" i="39"/>
  <c r="AA11" i="39"/>
  <c r="AZ493" i="3"/>
  <c r="AZ501" i="3"/>
  <c r="AZ529" i="3"/>
  <c r="AZ564" i="3"/>
  <c r="W8" i="40"/>
  <c r="W27" i="35"/>
  <c r="AC27" i="35"/>
  <c r="B72" i="43"/>
  <c r="C15" i="39"/>
  <c r="F44" i="33"/>
  <c r="H44" i="33"/>
  <c r="J13" i="34"/>
  <c r="F13" i="34"/>
  <c r="H31" i="34"/>
  <c r="F31" i="34"/>
  <c r="H47" i="34"/>
  <c r="F47" i="34"/>
  <c r="U23" i="35"/>
  <c r="AB23" i="35"/>
  <c r="AB34" i="35"/>
  <c r="U34" i="35"/>
  <c r="AC28" i="36"/>
  <c r="W28" i="36"/>
  <c r="AA34" i="39"/>
  <c r="S34" i="39"/>
  <c r="W38" i="39"/>
  <c r="AC38" i="39"/>
  <c r="AZ513" i="3"/>
  <c r="AZ575" i="3"/>
  <c r="AZ528" i="3"/>
  <c r="AZ574" i="3"/>
  <c r="AZ502" i="3"/>
  <c r="BL587" i="3"/>
  <c r="BL586" i="3"/>
  <c r="B79" i="43"/>
  <c r="F12" i="35"/>
  <c r="J12" i="35"/>
  <c r="G570" i="3"/>
  <c r="AZ322" i="3"/>
  <c r="AZ313" i="3"/>
  <c r="AZ164" i="3"/>
  <c r="AZ394" i="3"/>
  <c r="AZ519" i="3"/>
  <c r="AZ531" i="3"/>
  <c r="BL559" i="3"/>
  <c r="AZ573" i="3"/>
  <c r="AZ583" i="3"/>
  <c r="AZ576" i="3"/>
  <c r="AZ451" i="3"/>
  <c r="AZ334" i="3"/>
  <c r="AZ372" i="3"/>
  <c r="AZ347" i="3"/>
  <c r="AZ337" i="3"/>
  <c r="AZ183" i="3"/>
  <c r="AZ376" i="3"/>
  <c r="AZ309" i="3"/>
  <c r="AZ515" i="3"/>
  <c r="AZ523" i="3"/>
  <c r="AZ547" i="3"/>
  <c r="BL569" i="3"/>
  <c r="BL557" i="3"/>
  <c r="AZ571" i="3"/>
  <c r="AZ579" i="3"/>
  <c r="AZ516" i="3"/>
  <c r="AZ524" i="3"/>
  <c r="BL585" i="3"/>
  <c r="AZ585" i="3" s="1"/>
  <c r="J9" i="33"/>
  <c r="J9" i="34"/>
  <c r="H25" i="37"/>
  <c r="F25" i="37"/>
  <c r="AZ403" i="3"/>
  <c r="AZ419" i="3"/>
  <c r="AZ422" i="3"/>
  <c r="AZ228" i="3"/>
  <c r="S76" i="71"/>
  <c r="B75" i="71"/>
  <c r="B74" i="71" s="1"/>
  <c r="U80" i="71"/>
  <c r="E79" i="71"/>
  <c r="E78" i="71" s="1"/>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BA348" i="3"/>
  <c r="BA350" i="3"/>
  <c r="AZ350" i="3" s="1"/>
  <c r="BA354" i="3"/>
  <c r="BA366" i="3"/>
  <c r="AZ366" i="3" s="1"/>
  <c r="BA386" i="3"/>
  <c r="AZ386" i="3" s="1"/>
  <c r="BL215" i="3"/>
  <c r="BA218" i="3"/>
  <c r="AZ218" i="3" s="1"/>
  <c r="BL218" i="3"/>
  <c r="AZ25" i="3"/>
  <c r="B13" i="1"/>
  <c r="E13" i="1" s="1"/>
  <c r="K13" i="1"/>
  <c r="M13" i="1" s="1"/>
  <c r="O13" i="1" s="1"/>
  <c r="P13" i="1" s="1"/>
  <c r="AA21" i="33"/>
  <c r="S21" i="33"/>
  <c r="AA21" i="34"/>
  <c r="S21" i="34"/>
  <c r="BL398" i="3"/>
  <c r="BL403"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BA446" i="3"/>
  <c r="BA450" i="3"/>
  <c r="BA453" i="3"/>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3" i="3"/>
  <c r="BA216" i="3"/>
  <c r="AZ216" i="3" s="1"/>
  <c r="BA220" i="3"/>
  <c r="BA221" i="3"/>
  <c r="AZ221" i="3" s="1"/>
  <c r="BA223" i="3"/>
  <c r="AZ223" i="3" s="1"/>
  <c r="BA226" i="3"/>
  <c r="BA125" i="3"/>
  <c r="G128" i="3"/>
  <c r="G551" i="3"/>
  <c r="BL550" i="3"/>
  <c r="G542" i="3"/>
  <c r="BL15" i="3"/>
  <c r="AZ15" i="3" s="1"/>
  <c r="BA398" i="3"/>
  <c r="AZ398" i="3" s="1"/>
  <c r="BA399" i="3"/>
  <c r="AZ399" i="3" s="1"/>
  <c r="BL401" i="3"/>
  <c r="AZ401" i="3" s="1"/>
  <c r="BL404" i="3"/>
  <c r="AZ404" i="3" s="1"/>
  <c r="BL405" i="3"/>
  <c r="AZ405" i="3" s="1"/>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A208" i="3"/>
  <c r="AZ208" i="3" s="1"/>
  <c r="BA211" i="3"/>
  <c r="AZ211" i="3" s="1"/>
  <c r="G217" i="3"/>
  <c r="BL217" i="3"/>
  <c r="AZ217" i="3" s="1"/>
  <c r="BA219" i="3"/>
  <c r="AZ219" i="3" s="1"/>
  <c r="BA222" i="3"/>
  <c r="AZ222" i="3" s="1"/>
  <c r="BA224" i="3"/>
  <c r="AZ224" i="3" s="1"/>
  <c r="BA227" i="3"/>
  <c r="AZ227" i="3" s="1"/>
  <c r="G228" i="3"/>
  <c r="BL228" i="3"/>
  <c r="BA230" i="3"/>
  <c r="AZ230" i="3" s="1"/>
  <c r="BA235" i="3"/>
  <c r="BL254" i="3"/>
  <c r="BA265" i="3"/>
  <c r="AZ265" i="3" s="1"/>
  <c r="BA275" i="3"/>
  <c r="G295" i="3"/>
  <c r="G123" i="3"/>
  <c r="BL127" i="3"/>
  <c r="AZ127" i="3" s="1"/>
  <c r="G150" i="3"/>
  <c r="BL163" i="3"/>
  <c r="AZ163" i="3" s="1"/>
  <c r="G195" i="3"/>
  <c r="AZ52" i="3"/>
  <c r="BA229" i="3"/>
  <c r="BL229" i="3"/>
  <c r="BL231" i="3"/>
  <c r="BL233" i="3"/>
  <c r="AZ233" i="3" s="1"/>
  <c r="BL235" i="3"/>
  <c r="BL236" i="3"/>
  <c r="AZ236" i="3" s="1"/>
  <c r="BL238" i="3"/>
  <c r="BL243" i="3"/>
  <c r="BA247" i="3"/>
  <c r="BL247" i="3"/>
  <c r="BA249" i="3"/>
  <c r="BL249" i="3"/>
  <c r="BA251" i="3"/>
  <c r="BL251" i="3"/>
  <c r="BA253" i="3"/>
  <c r="BL260" i="3"/>
  <c r="BL263" i="3"/>
  <c r="BL270" i="3"/>
  <c r="AZ270" i="3" s="1"/>
  <c r="BA272" i="3"/>
  <c r="AZ272" i="3" s="1"/>
  <c r="BL275" i="3"/>
  <c r="BL285" i="3"/>
  <c r="BL287" i="3"/>
  <c r="BA290" i="3"/>
  <c r="BL299" i="3"/>
  <c r="BL113" i="3"/>
  <c r="BL115" i="3"/>
  <c r="AZ115" i="3" s="1"/>
  <c r="BA118" i="3"/>
  <c r="BL118" i="3"/>
  <c r="BA122" i="3"/>
  <c r="AZ122" i="3" s="1"/>
  <c r="BL125" i="3"/>
  <c r="BL126" i="3"/>
  <c r="BA144" i="3"/>
  <c r="AZ144" i="3" s="1"/>
  <c r="BA153" i="3"/>
  <c r="BL155" i="3"/>
  <c r="AZ155" i="3" s="1"/>
  <c r="BA164" i="3"/>
  <c r="BA166" i="3"/>
  <c r="AZ166" i="3" s="1"/>
  <c r="BA169" i="3"/>
  <c r="AZ169" i="3" s="1"/>
  <c r="BL177" i="3"/>
  <c r="AZ177" i="3" s="1"/>
  <c r="BL183" i="3"/>
  <c r="BA186" i="3"/>
  <c r="BA18" i="3"/>
  <c r="BL21" i="3"/>
  <c r="G23" i="3"/>
  <c r="BA39" i="3"/>
  <c r="BL47" i="3"/>
  <c r="AZ47" i="3" s="1"/>
  <c r="BL56" i="3"/>
  <c r="BA58" i="3"/>
  <c r="BL59" i="3"/>
  <c r="BL60" i="3"/>
  <c r="AZ60" i="3" s="1"/>
  <c r="BA72" i="3"/>
  <c r="AZ72" i="3" s="1"/>
  <c r="BL100" i="3"/>
  <c r="AZ100" i="3" s="1"/>
  <c r="B27" i="71"/>
  <c r="B26" i="71" s="1"/>
  <c r="S28" i="71"/>
  <c r="AB39" i="71"/>
  <c r="AB28" i="71"/>
  <c r="AB34" i="71"/>
  <c r="AB33" i="71"/>
  <c r="C44" i="71"/>
  <c r="D43" i="71"/>
  <c r="V68" i="71"/>
  <c r="Q68" i="71"/>
  <c r="F67" i="7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AZ293" i="3" s="1"/>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8" i="3"/>
  <c r="BA180" i="3"/>
  <c r="AZ180" i="3" s="1"/>
  <c r="BL182" i="3"/>
  <c r="AZ182" i="3" s="1"/>
  <c r="BA185" i="3"/>
  <c r="G190" i="3"/>
  <c r="BL193" i="3"/>
  <c r="G194" i="3"/>
  <c r="BL194" i="3"/>
  <c r="AZ194" i="3" s="1"/>
  <c r="BA198" i="3"/>
  <c r="AZ198" i="3" s="1"/>
  <c r="G204" i="3"/>
  <c r="BL20" i="3"/>
  <c r="BA21" i="3"/>
  <c r="BL24" i="3"/>
  <c r="G25" i="3"/>
  <c r="G29" i="3"/>
  <c r="BL29" i="3"/>
  <c r="G33" i="3"/>
  <c r="G34" i="3"/>
  <c r="BL40" i="3"/>
  <c r="BL41" i="3"/>
  <c r="BA51" i="3"/>
  <c r="AZ51" i="3" s="1"/>
  <c r="BA70" i="3"/>
  <c r="AZ70" i="3" s="1"/>
  <c r="BL99" i="3"/>
  <c r="D67" i="71"/>
  <c r="C66" i="71"/>
  <c r="O67" i="71"/>
  <c r="C55" i="7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86" i="3"/>
  <c r="G187" i="3"/>
  <c r="BA190" i="3"/>
  <c r="G196" i="3"/>
  <c r="BA197" i="3"/>
  <c r="AZ197" i="3" s="1"/>
  <c r="BL201" i="3"/>
  <c r="AZ201" i="3" s="1"/>
  <c r="BL203" i="3"/>
  <c r="AZ203" i="3" s="1"/>
  <c r="BA204" i="3"/>
  <c r="AZ204" i="3" s="1"/>
  <c r="BL23" i="3"/>
  <c r="G24" i="3"/>
  <c r="BA26" i="3"/>
  <c r="BL28" i="3"/>
  <c r="BA29" i="3"/>
  <c r="AZ29" i="3" s="1"/>
  <c r="BL35" i="3"/>
  <c r="BA43" i="3"/>
  <c r="BA48" i="3"/>
  <c r="BA37" i="3"/>
  <c r="G39" i="3"/>
  <c r="BL39" i="3"/>
  <c r="G43" i="3"/>
  <c r="G44" i="3"/>
  <c r="BA45" i="3"/>
  <c r="AZ45" i="3" s="1"/>
  <c r="BA46" i="3"/>
  <c r="BL49" i="3"/>
  <c r="AZ49" i="3" s="1"/>
  <c r="BL50" i="3"/>
  <c r="AZ50" i="3" s="1"/>
  <c r="BL51" i="3"/>
  <c r="G53" i="3"/>
  <c r="BL53" i="3"/>
  <c r="AZ53" i="3" s="1"/>
  <c r="BA56" i="3"/>
  <c r="BA57" i="3"/>
  <c r="AZ57" i="3" s="1"/>
  <c r="BL58" i="3"/>
  <c r="G60" i="3"/>
  <c r="BA60" i="3"/>
  <c r="BA63" i="3"/>
  <c r="BL64" i="3"/>
  <c r="G65" i="3"/>
  <c r="BL65" i="3"/>
  <c r="BL66" i="3"/>
  <c r="BL67" i="3"/>
  <c r="AZ67" i="3" s="1"/>
  <c r="G69" i="3"/>
  <c r="G72" i="3"/>
  <c r="BL73" i="3"/>
  <c r="BA74" i="3"/>
  <c r="BL79" i="3"/>
  <c r="BL81" i="3"/>
  <c r="BA82" i="3"/>
  <c r="AZ82" i="3" s="1"/>
  <c r="BL83" i="3"/>
  <c r="G86" i="3"/>
  <c r="BA87" i="3"/>
  <c r="BA89" i="3"/>
  <c r="BL93" i="3"/>
  <c r="BL94" i="3"/>
  <c r="AZ94" i="3" s="1"/>
  <c r="BL101" i="3"/>
  <c r="BL102" i="3"/>
  <c r="AZ102" i="3" s="1"/>
  <c r="G104" i="3"/>
  <c r="G105" i="3"/>
  <c r="AB29" i="39"/>
  <c r="U29" i="39"/>
  <c r="C25" i="40"/>
  <c r="B88" i="43"/>
  <c r="AA25" i="40"/>
  <c r="S25" i="40"/>
  <c r="T52" i="71"/>
  <c r="D52" i="71"/>
  <c r="X31" i="71"/>
  <c r="X25" i="71"/>
  <c r="B34" i="71"/>
  <c r="B35" i="71" s="1"/>
  <c r="B36" i="71" s="1"/>
  <c r="S36" i="71" s="1"/>
  <c r="X26" i="71"/>
  <c r="X39" i="71"/>
  <c r="X34" i="71"/>
  <c r="S68" i="71"/>
  <c r="B67" i="71"/>
  <c r="N68" i="71"/>
  <c r="BL62" i="3"/>
  <c r="AZ62" i="3" s="1"/>
  <c r="BL63" i="3"/>
  <c r="AZ65" i="3"/>
  <c r="BA73" i="3"/>
  <c r="BA103" i="3"/>
  <c r="AZ103" i="3" s="1"/>
  <c r="BA104" i="3"/>
  <c r="BA106" i="3"/>
  <c r="AZ106" i="3" s="1"/>
  <c r="BL108" i="3"/>
  <c r="BA111" i="3"/>
  <c r="AZ111" i="3" s="1"/>
  <c r="C26" i="71"/>
  <c r="D26" i="71" s="1"/>
  <c r="D27" i="71"/>
  <c r="Y38" i="71"/>
  <c r="Z38" i="71" s="1"/>
  <c r="Y27" i="71"/>
  <c r="Z27" i="71"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AZ200" i="3" s="1"/>
  <c r="BA202" i="3"/>
  <c r="BL207" i="3"/>
  <c r="AZ207" i="3" s="1"/>
  <c r="BL18" i="3"/>
  <c r="G19" i="3"/>
  <c r="BL19" i="3"/>
  <c r="AZ19" i="3" s="1"/>
  <c r="BA20" i="3"/>
  <c r="AZ20" i="3" s="1"/>
  <c r="BL25" i="3"/>
  <c r="BL27" i="3"/>
  <c r="AZ27" i="3" s="1"/>
  <c r="BA28" i="3"/>
  <c r="AZ28" i="3" s="1"/>
  <c r="BA31" i="3"/>
  <c r="AZ31" i="3" s="1"/>
  <c r="BA32" i="3"/>
  <c r="G38" i="3"/>
  <c r="BA38" i="3"/>
  <c r="AZ38" i="3" s="1"/>
  <c r="BA41" i="3"/>
  <c r="AZ41" i="3" s="1"/>
  <c r="BA42" i="3"/>
  <c r="G46" i="3"/>
  <c r="G47" i="3"/>
  <c r="BL48" i="3"/>
  <c r="AZ48" i="3" s="1"/>
  <c r="BL54" i="3"/>
  <c r="BL55" i="3"/>
  <c r="AZ55" i="3" s="1"/>
  <c r="G57" i="3"/>
  <c r="G58" i="3"/>
  <c r="BA59" i="3"/>
  <c r="AZ59" i="3" s="1"/>
  <c r="G61" i="3"/>
  <c r="BL61" i="3"/>
  <c r="AZ61" i="3" s="1"/>
  <c r="G64" i="3"/>
  <c r="BA64" i="3"/>
  <c r="BA68" i="3"/>
  <c r="BL74" i="3"/>
  <c r="G75" i="3"/>
  <c r="BL75" i="3"/>
  <c r="AZ75" i="3" s="1"/>
  <c r="BA80" i="3"/>
  <c r="BL84" i="3"/>
  <c r="G89" i="3"/>
  <c r="BA90" i="3"/>
  <c r="BA109" i="3"/>
  <c r="AA21" i="37"/>
  <c r="S21" i="37"/>
  <c r="P27" i="6"/>
  <c r="D50" i="71"/>
  <c r="T32" i="71"/>
  <c r="D32" i="71"/>
  <c r="F30" i="71"/>
  <c r="F31" i="71" s="1"/>
  <c r="F32" i="71" s="1"/>
  <c r="V32" i="71" s="1"/>
  <c r="AB26" i="7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E19" i="71" s="1"/>
  <c r="E18" i="71" s="1"/>
  <c r="E17" i="71" s="1"/>
  <c r="E16" i="71" s="1"/>
  <c r="BL106" i="3"/>
  <c r="BA108" i="3"/>
  <c r="AZ108" i="3" s="1"/>
  <c r="BA110" i="3"/>
  <c r="AZ110" i="3" s="1"/>
  <c r="F3" i="35"/>
  <c r="B77" i="43"/>
  <c r="AA28" i="71"/>
  <c r="E75" i="71"/>
  <c r="E74" i="71" s="1"/>
  <c r="AB25" i="71"/>
  <c r="Y25" i="71"/>
  <c r="Z25" i="71" s="1"/>
  <c r="X38" i="71"/>
  <c r="Y29" i="71"/>
  <c r="Z29" i="71" s="1"/>
  <c r="AB32" i="71"/>
  <c r="X33" i="71"/>
  <c r="AB37" i="71"/>
  <c r="P66" i="71"/>
  <c r="AA27" i="71"/>
  <c r="C83" i="71"/>
  <c r="C79" i="71"/>
  <c r="C71" i="71"/>
  <c r="C39" i="71"/>
  <c r="Y28" i="71"/>
  <c r="Z28" i="71" s="1"/>
  <c r="X28" i="71"/>
  <c r="X32" i="71"/>
  <c r="F38" i="71"/>
  <c r="F39" i="71" s="1"/>
  <c r="F40" i="71" s="1"/>
  <c r="V40" i="71" s="1"/>
  <c r="AB38" i="7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AA34" i="71"/>
  <c r="E51" i="71"/>
  <c r="E52" i="71" s="1"/>
  <c r="U52" i="71" s="1"/>
  <c r="F9" i="1"/>
  <c r="G9" i="1" s="1"/>
  <c r="F10" i="1"/>
  <c r="G10" i="1" s="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68" i="3"/>
  <c r="AZ73" i="3"/>
  <c r="AZ104" i="3"/>
  <c r="G200" i="3"/>
  <c r="G207" i="3"/>
  <c r="BA23" i="3"/>
  <c r="AZ23" i="3" s="1"/>
  <c r="BA24" i="3"/>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51" i="15"/>
  <c r="F71"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L48" i="67"/>
  <c r="C16" i="15"/>
  <c r="F9" i="67"/>
  <c r="F6" i="67"/>
  <c r="F37" i="67"/>
  <c r="F7" i="15"/>
  <c r="F13" i="15"/>
  <c r="M9" i="15"/>
  <c r="D4" i="73"/>
  <c r="D3" i="73"/>
  <c r="F42" i="67"/>
  <c r="M28" i="15"/>
  <c r="C16" i="67"/>
  <c r="M29" i="67"/>
  <c r="D5" i="73"/>
  <c r="F13" i="67"/>
  <c r="D7" i="73"/>
  <c r="E28" i="6" l="1"/>
  <c r="K14" i="1" s="1"/>
  <c r="M14" i="1" s="1"/>
  <c r="E12" i="6"/>
  <c r="E57" i="40" s="1"/>
  <c r="O7" i="1"/>
  <c r="P7" i="1" s="1"/>
  <c r="I54" i="67"/>
  <c r="J53" i="67"/>
  <c r="Q52" i="67" s="1"/>
  <c r="L58" i="67"/>
  <c r="Q60" i="67" s="1"/>
  <c r="L56" i="67"/>
  <c r="J57" i="67"/>
  <c r="J55" i="67" s="1"/>
  <c r="J58" i="67" s="1"/>
  <c r="Q50" i="67" s="1"/>
  <c r="G8" i="1"/>
  <c r="G16" i="1" s="1"/>
  <c r="F10" i="39" s="1"/>
  <c r="AA10" i="39" s="1"/>
  <c r="P6" i="1"/>
  <c r="C13" i="12" s="1"/>
  <c r="J26" i="43"/>
  <c r="N94" i="46"/>
  <c r="G26" i="43"/>
  <c r="N370" i="46"/>
  <c r="F26" i="43"/>
  <c r="E13" i="6"/>
  <c r="E58" i="40" s="1"/>
  <c r="E26" i="43"/>
  <c r="E59" i="40"/>
  <c r="G30" i="6"/>
  <c r="G31" i="6" s="1"/>
  <c r="E15" i="6"/>
  <c r="E64" i="39" s="1"/>
  <c r="F31" i="67"/>
  <c r="C6" i="67"/>
  <c r="C32" i="67" s="1"/>
  <c r="F65" i="67"/>
  <c r="F31" i="15"/>
  <c r="M7" i="15"/>
  <c r="J6" i="15" s="1"/>
  <c r="J18" i="15" s="1"/>
  <c r="C6" i="15"/>
  <c r="C32" i="15" s="1"/>
  <c r="F50" i="15"/>
  <c r="F59" i="15" s="1"/>
  <c r="E29" i="6"/>
  <c r="K15" i="1" s="1"/>
  <c r="F30" i="6"/>
  <c r="O65" i="71"/>
  <c r="O66" i="71"/>
  <c r="D66" i="71"/>
  <c r="AB25" i="37"/>
  <c r="U25" i="37"/>
  <c r="AA31" i="34"/>
  <c r="S31" i="34"/>
  <c r="AB44" i="33"/>
  <c r="U44" i="33"/>
  <c r="AB34" i="36"/>
  <c r="U34" i="36"/>
  <c r="S14" i="21"/>
  <c r="AA14" i="21"/>
  <c r="U14" i="21"/>
  <c r="AB14" i="21"/>
  <c r="E10" i="6"/>
  <c r="G5" i="3"/>
  <c r="B3" i="3" s="1"/>
  <c r="E184" i="3" s="1"/>
  <c r="AZ281" i="3"/>
  <c r="AZ79" i="3"/>
  <c r="D71" i="71"/>
  <c r="C70" i="71"/>
  <c r="D70" i="71" s="1"/>
  <c r="AZ74" i="3"/>
  <c r="AZ121" i="3"/>
  <c r="AZ21" i="3"/>
  <c r="AZ282" i="3"/>
  <c r="AZ210" i="3"/>
  <c r="AZ39" i="3"/>
  <c r="AZ251" i="3"/>
  <c r="AZ247" i="3"/>
  <c r="AZ229" i="3"/>
  <c r="AZ235" i="3"/>
  <c r="AZ457" i="3"/>
  <c r="AZ125" i="3"/>
  <c r="AZ368" i="3"/>
  <c r="AZ353" i="3"/>
  <c r="AZ408" i="3"/>
  <c r="AC9" i="34"/>
  <c r="W9" i="34"/>
  <c r="AZ569" i="3"/>
  <c r="W12" i="35"/>
  <c r="AC12" i="35"/>
  <c r="S44" i="33"/>
  <c r="AA44" i="33"/>
  <c r="AA14" i="37"/>
  <c r="S14" i="37"/>
  <c r="AA12" i="36"/>
  <c r="S12" i="36"/>
  <c r="D39" i="71"/>
  <c r="C40" i="71"/>
  <c r="N67" i="71"/>
  <c r="B66" i="71"/>
  <c r="J7" i="36"/>
  <c r="E11" i="6"/>
  <c r="E60" i="39" s="1"/>
  <c r="Q16" i="1"/>
  <c r="F27" i="69" s="1"/>
  <c r="C47" i="69" s="1"/>
  <c r="D45" i="69" s="1"/>
  <c r="AZ300" i="3"/>
  <c r="AZ486" i="3"/>
  <c r="D79" i="71"/>
  <c r="C78" i="71"/>
  <c r="D78" i="71" s="1"/>
  <c r="T60" i="71"/>
  <c r="D60" i="71"/>
  <c r="AZ178" i="3"/>
  <c r="AZ63" i="3"/>
  <c r="AZ190" i="3"/>
  <c r="AZ271" i="3"/>
  <c r="D55" i="71"/>
  <c r="C56" i="71"/>
  <c r="AZ297" i="3"/>
  <c r="AZ241" i="3"/>
  <c r="AZ58" i="3"/>
  <c r="AZ186" i="3"/>
  <c r="AZ275" i="3"/>
  <c r="AZ435" i="3"/>
  <c r="AZ425" i="3"/>
  <c r="AZ453" i="3"/>
  <c r="AC9" i="33"/>
  <c r="W9" i="33"/>
  <c r="S47" i="34"/>
  <c r="AA47" i="34"/>
  <c r="AA13" i="34"/>
  <c r="S13" i="34"/>
  <c r="AZ568" i="3"/>
  <c r="U14" i="33"/>
  <c r="AB14" i="33"/>
  <c r="AZ557" i="3"/>
  <c r="AZ559" i="3"/>
  <c r="AA38" i="37"/>
  <c r="S38" i="37"/>
  <c r="W12" i="36"/>
  <c r="AC12" i="36"/>
  <c r="H16" i="1"/>
  <c r="AZ24" i="3"/>
  <c r="AZ287" i="3"/>
  <c r="AZ264" i="3"/>
  <c r="AZ209" i="3"/>
  <c r="AZ234" i="3"/>
  <c r="AZ354" i="3"/>
  <c r="D83" i="71"/>
  <c r="C82" i="71"/>
  <c r="D82" i="71" s="1"/>
  <c r="AZ64" i="3"/>
  <c r="AZ277" i="3"/>
  <c r="AZ256" i="3"/>
  <c r="AZ397" i="3"/>
  <c r="F66" i="71"/>
  <c r="Q67" i="71"/>
  <c r="T44" i="71"/>
  <c r="D44" i="71"/>
  <c r="AZ118" i="3"/>
  <c r="AZ249" i="3"/>
  <c r="AZ415" i="3"/>
  <c r="AA25" i="37"/>
  <c r="S25" i="37"/>
  <c r="U47" i="34"/>
  <c r="AB47" i="34"/>
  <c r="W13" i="34"/>
  <c r="AC13" i="34"/>
  <c r="AZ566" i="3"/>
  <c r="AZ586" i="3"/>
  <c r="W14" i="33"/>
  <c r="AC14" i="33"/>
  <c r="AZ558" i="3"/>
  <c r="AZ563" i="3"/>
  <c r="AC38" i="37"/>
  <c r="W38" i="37"/>
  <c r="U12" i="36"/>
  <c r="AB12" i="36"/>
  <c r="W14" i="21"/>
  <c r="AC14" i="2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P28" i="43"/>
  <c r="B66" i="40" s="1"/>
  <c r="P25" i="43"/>
  <c r="C49" i="67"/>
  <c r="P29" i="43"/>
  <c r="P27" i="43"/>
  <c r="B70" i="39" s="1"/>
  <c r="M11" i="67"/>
  <c r="J10" i="67" s="1"/>
  <c r="J5" i="67" s="1"/>
  <c r="F11" i="15"/>
  <c r="M11" i="15"/>
  <c r="J10" i="15" s="1"/>
  <c r="F11" i="67"/>
  <c r="F1" i="15"/>
  <c r="Q52" i="15"/>
  <c r="J18" i="67"/>
  <c r="Q60" i="15"/>
  <c r="Q73" i="15"/>
  <c r="Q61" i="67"/>
  <c r="Q74" i="67"/>
  <c r="Q74" i="15"/>
  <c r="Q61" i="15"/>
  <c r="AE11" i="1"/>
  <c r="AE9" i="1"/>
  <c r="AE8" i="1"/>
  <c r="AE12" i="1"/>
  <c r="AE10" i="1"/>
  <c r="AE7" i="1"/>
  <c r="AE6" i="1"/>
  <c r="G1" i="73"/>
  <c r="F41" i="67"/>
  <c r="K16" i="1" l="1"/>
  <c r="B29" i="1" s="1"/>
  <c r="C8" i="68" s="1"/>
  <c r="F1" i="67"/>
  <c r="E30" i="6"/>
  <c r="E141" i="3"/>
  <c r="E178" i="3"/>
  <c r="E118" i="3"/>
  <c r="E487" i="3"/>
  <c r="E296" i="3"/>
  <c r="E509" i="3"/>
  <c r="E528" i="3"/>
  <c r="E314" i="3"/>
  <c r="E191" i="3"/>
  <c r="E230" i="3"/>
  <c r="E557" i="3"/>
  <c r="AA6" i="3"/>
  <c r="Q73" i="67"/>
  <c r="E445" i="3"/>
  <c r="E388" i="3"/>
  <c r="E285" i="3"/>
  <c r="C49" i="15"/>
  <c r="F28" i="12"/>
  <c r="C29" i="12" s="1"/>
  <c r="D28" i="12" s="1"/>
  <c r="J5" i="15"/>
  <c r="J24" i="15" s="1"/>
  <c r="H10" i="39"/>
  <c r="U10" i="39" s="1"/>
  <c r="E200" i="3"/>
  <c r="E69" i="3"/>
  <c r="E146" i="3"/>
  <c r="AS6" i="3"/>
  <c r="E316" i="3"/>
  <c r="E208" i="3"/>
  <c r="E385" i="3"/>
  <c r="M6" i="3"/>
  <c r="E181" i="3"/>
  <c r="E150" i="3"/>
  <c r="E274" i="3"/>
  <c r="E542" i="3"/>
  <c r="D26" i="43"/>
  <c r="C25" i="43" s="1"/>
  <c r="C33" i="43" s="1"/>
  <c r="E142" i="3"/>
  <c r="E240" i="3"/>
  <c r="E483" i="3"/>
  <c r="E132" i="3"/>
  <c r="E100" i="3"/>
  <c r="AI6" i="3"/>
  <c r="E135" i="3"/>
  <c r="E172" i="3"/>
  <c r="E215" i="3"/>
  <c r="E570" i="3"/>
  <c r="E526" i="3"/>
  <c r="AO6" i="3"/>
  <c r="E577" i="3"/>
  <c r="E399" i="3"/>
  <c r="E231" i="3"/>
  <c r="E530" i="3"/>
  <c r="E478" i="3"/>
  <c r="E450" i="3"/>
  <c r="E583" i="3"/>
  <c r="E559" i="3"/>
  <c r="E404" i="3"/>
  <c r="E496" i="3"/>
  <c r="E159" i="3"/>
  <c r="E501" i="3"/>
  <c r="E529" i="3"/>
  <c r="E149" i="3"/>
  <c r="E364" i="3"/>
  <c r="E376" i="3"/>
  <c r="E497" i="3"/>
  <c r="E513" i="3"/>
  <c r="E255" i="3"/>
  <c r="E356" i="3"/>
  <c r="E18" i="3"/>
  <c r="E544" i="3"/>
  <c r="E378" i="3"/>
  <c r="E248" i="3"/>
  <c r="E131" i="3"/>
  <c r="E242" i="3"/>
  <c r="E119" i="3"/>
  <c r="X6" i="3"/>
  <c r="E423" i="3"/>
  <c r="E161" i="3"/>
  <c r="E563" i="3"/>
  <c r="E335" i="3"/>
  <c r="E514" i="3"/>
  <c r="E377" i="3"/>
  <c r="E89" i="3"/>
  <c r="E472" i="3"/>
  <c r="E350" i="3"/>
  <c r="E561" i="3"/>
  <c r="E384" i="3"/>
  <c r="E271" i="3"/>
  <c r="E527" i="3"/>
  <c r="E245" i="3"/>
  <c r="E569" i="3"/>
  <c r="P6" i="3"/>
  <c r="E437" i="3"/>
  <c r="E213" i="3"/>
  <c r="E291" i="3"/>
  <c r="E127" i="3"/>
  <c r="E520" i="3"/>
  <c r="E325" i="3"/>
  <c r="E105" i="3"/>
  <c r="E525" i="3"/>
  <c r="E499" i="3"/>
  <c r="AP6" i="3"/>
  <c r="E479" i="3"/>
  <c r="E292"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502" i="3"/>
  <c r="E554" i="3"/>
  <c r="E95" i="3"/>
  <c r="E539" i="3"/>
  <c r="E466" i="3"/>
  <c r="E491" i="3"/>
  <c r="E152" i="3"/>
  <c r="E389"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302" i="3"/>
  <c r="E303" i="3"/>
  <c r="E280" i="3"/>
  <c r="E434" i="3"/>
  <c r="E177" i="3"/>
  <c r="E481" i="3"/>
  <c r="E429" i="3"/>
  <c r="E203" i="3"/>
  <c r="E580" i="3"/>
  <c r="E252" i="3"/>
  <c r="E448" i="3"/>
  <c r="E581" i="3"/>
  <c r="E121" i="3"/>
  <c r="E334" i="3"/>
  <c r="E366" i="3"/>
  <c r="E239" i="3"/>
  <c r="E229" i="3"/>
  <c r="E551" i="3"/>
  <c r="E294" i="3"/>
  <c r="E415" i="3"/>
  <c r="E117" i="3"/>
  <c r="E382" i="3"/>
  <c r="E336" i="3"/>
  <c r="E417" i="3"/>
  <c r="E409" i="3"/>
  <c r="E371" i="3"/>
  <c r="E355" i="3"/>
  <c r="E198" i="3"/>
  <c r="E174" i="3"/>
  <c r="E113" i="3"/>
  <c r="E405" i="3"/>
  <c r="E470" i="3"/>
  <c r="E412" i="3"/>
  <c r="E158" i="3"/>
  <c r="E564" i="3"/>
  <c r="J6" i="3"/>
  <c r="E276" i="3"/>
  <c r="E79" i="3"/>
  <c r="AQ6" i="3"/>
  <c r="E62" i="3"/>
  <c r="E566" i="3"/>
  <c r="E250" i="3"/>
  <c r="E446" i="3"/>
  <c r="E436" i="3"/>
  <c r="E39" i="3"/>
  <c r="E87" i="3"/>
  <c r="E461" i="3"/>
  <c r="E438" i="3"/>
  <c r="E14" i="3"/>
  <c r="E367" i="3"/>
  <c r="E317" i="3"/>
  <c r="E426" i="3"/>
  <c r="S6" i="3"/>
  <c r="E298" i="3"/>
  <c r="E17" i="3"/>
  <c r="E402" i="3"/>
  <c r="E156" i="3"/>
  <c r="E120" i="3"/>
  <c r="E424" i="3"/>
  <c r="E55" i="3"/>
  <c r="E394" i="3"/>
  <c r="E164" i="3"/>
  <c r="E443" i="3"/>
  <c r="E88" i="3"/>
  <c r="E30" i="3"/>
  <c r="E282" i="3"/>
  <c r="E396" i="3"/>
  <c r="V6" i="3"/>
  <c r="E130" i="3"/>
  <c r="E550" i="3"/>
  <c r="E57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258" i="3"/>
  <c r="E467" i="3"/>
  <c r="E492" i="3"/>
  <c r="E63" i="3"/>
  <c r="E391" i="3"/>
  <c r="E383" i="3"/>
  <c r="E22" i="3"/>
  <c r="E512" i="3"/>
  <c r="E26" i="3"/>
  <c r="E220" i="3"/>
  <c r="E329" i="3"/>
  <c r="E427" i="3"/>
  <c r="E401" i="3"/>
  <c r="E372" i="3"/>
  <c r="E170" i="3"/>
  <c r="E112" i="3"/>
  <c r="E265" i="3"/>
  <c r="E90" i="3"/>
  <c r="E244" i="3"/>
  <c r="E354" i="3"/>
  <c r="E375" i="3"/>
  <c r="E163" i="3"/>
  <c r="E413" i="3"/>
  <c r="E352" i="3"/>
  <c r="E537" i="3"/>
  <c r="E196" i="3"/>
  <c r="E403" i="3"/>
  <c r="AM6" i="3"/>
  <c r="O6" i="3"/>
  <c r="E523" i="3"/>
  <c r="E237" i="3"/>
  <c r="E221" i="3"/>
  <c r="AN6" i="3"/>
  <c r="E238" i="3"/>
  <c r="E330" i="3"/>
  <c r="E344" i="3"/>
  <c r="E73" i="3"/>
  <c r="E32" i="3"/>
  <c r="E576" i="3"/>
  <c r="E558" i="3"/>
  <c r="E166" i="3"/>
  <c r="E480" i="3"/>
  <c r="N6" i="3"/>
  <c r="E151" i="3"/>
  <c r="E407" i="3"/>
  <c r="E114" i="3"/>
  <c r="E290" i="3"/>
  <c r="E518"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212" i="3"/>
  <c r="E349" i="3"/>
  <c r="E46" i="3"/>
  <c r="E67" i="3"/>
  <c r="E283" i="3"/>
  <c r="E42" i="3"/>
  <c r="E34" i="3"/>
  <c r="E197" i="3"/>
  <c r="E451" i="3"/>
  <c r="E115" i="3"/>
  <c r="E35" i="3"/>
  <c r="E188" i="3"/>
  <c r="E422" i="3"/>
  <c r="E25" i="3"/>
  <c r="E60" i="3"/>
  <c r="E234" i="3"/>
  <c r="E289" i="3"/>
  <c r="E524" i="3"/>
  <c r="E58" i="3"/>
  <c r="E416" i="3"/>
  <c r="E284" i="3"/>
  <c r="E584" i="3"/>
  <c r="E179" i="3"/>
  <c r="E504" i="3"/>
  <c r="E224" i="3"/>
  <c r="E54" i="3"/>
  <c r="E145" i="3"/>
  <c r="E92" i="3"/>
  <c r="E319" i="3"/>
  <c r="E359" i="3"/>
  <c r="E506" i="3"/>
  <c r="E565" i="3"/>
  <c r="E254" i="3"/>
  <c r="E353" i="3"/>
  <c r="E128" i="3"/>
  <c r="Q6" i="3"/>
  <c r="AE6" i="3"/>
  <c r="E256" i="3"/>
  <c r="I6" i="3"/>
  <c r="AG6" i="3"/>
  <c r="E444" i="3"/>
  <c r="E295" i="3"/>
  <c r="E125" i="3"/>
  <c r="E516" i="3"/>
  <c r="E358" i="3"/>
  <c r="E320" i="3"/>
  <c r="E395" i="3"/>
  <c r="E61" i="3"/>
  <c r="E293"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AY6" i="3"/>
  <c r="AY58" i="3" s="1"/>
  <c r="S10" i="39"/>
  <c r="F10" i="40"/>
  <c r="S10" i="40" s="1"/>
  <c r="E139" i="3"/>
  <c r="E369" i="3"/>
  <c r="E94" i="3"/>
  <c r="E219" i="3"/>
  <c r="E275" i="3"/>
  <c r="E148" i="3"/>
  <c r="E246" i="3"/>
  <c r="E263" i="3"/>
  <c r="E535" i="3"/>
  <c r="E278" i="3"/>
  <c r="E387" i="3"/>
  <c r="E201" i="3"/>
  <c r="E70" i="3"/>
  <c r="E362" i="3"/>
  <c r="E277" i="3"/>
  <c r="E180" i="3"/>
  <c r="E143" i="3"/>
  <c r="E162" i="3"/>
  <c r="E31" i="3"/>
  <c r="E193" i="3"/>
  <c r="E260" i="3"/>
  <c r="E553" i="3"/>
  <c r="E236" i="3"/>
  <c r="E262" i="3"/>
  <c r="E321" i="3"/>
  <c r="E411" i="3"/>
  <c r="E459" i="3"/>
  <c r="E386" i="3"/>
  <c r="E473" i="3"/>
  <c r="E232" i="3"/>
  <c r="AF6" i="3"/>
  <c r="E267" i="3"/>
  <c r="E536" i="3"/>
  <c r="E575" i="3"/>
  <c r="E442" i="3"/>
  <c r="E449"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41" i="3"/>
  <c r="E37" i="3"/>
  <c r="E517" i="3"/>
  <c r="E430" i="3"/>
  <c r="E286" i="3"/>
  <c r="E62" i="39"/>
  <c r="E16" i="6"/>
  <c r="F27" i="68"/>
  <c r="C29" i="68" s="1"/>
  <c r="D27" i="68" s="1"/>
  <c r="J10" i="39"/>
  <c r="W10" i="39" s="1"/>
  <c r="E60" i="40"/>
  <c r="H10" i="40"/>
  <c r="AB10" i="40" s="1"/>
  <c r="J10" i="40"/>
  <c r="AC10" i="40" s="1"/>
  <c r="F27" i="11"/>
  <c r="C29" i="11" s="1"/>
  <c r="D27" i="11" s="1"/>
  <c r="E56" i="40"/>
  <c r="F45" i="69"/>
  <c r="C29" i="69"/>
  <c r="D27" i="69" s="1"/>
  <c r="D56" i="71"/>
  <c r="T56" i="71"/>
  <c r="N65" i="71"/>
  <c r="N66" i="71"/>
  <c r="E3" i="6"/>
  <c r="D3" i="21" s="1"/>
  <c r="Q65" i="71"/>
  <c r="Q6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439" i="3"/>
  <c r="AY304" i="3"/>
  <c r="AY402" i="3"/>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AY265" i="3" l="1"/>
  <c r="AY140" i="3"/>
  <c r="AY249" i="3"/>
  <c r="AY262" i="3"/>
  <c r="D14" i="12"/>
  <c r="AY64" i="3"/>
  <c r="AY448" i="3"/>
  <c r="AY572" i="3"/>
  <c r="AY143" i="3"/>
  <c r="AY22" i="3"/>
  <c r="AY38" i="3"/>
  <c r="AY340" i="3"/>
  <c r="BT6" i="3"/>
  <c r="AY71" i="3"/>
  <c r="AY19" i="3"/>
  <c r="AY479" i="3"/>
  <c r="AY413" i="3"/>
  <c r="AY528" i="3"/>
  <c r="AY110" i="3"/>
  <c r="AY218" i="3"/>
  <c r="AY354" i="3"/>
  <c r="AY587" i="3"/>
  <c r="AY192" i="3"/>
  <c r="AY471" i="3"/>
  <c r="AY88" i="3"/>
  <c r="AY53" i="3"/>
  <c r="BE6" i="3"/>
  <c r="W10" i="40"/>
  <c r="AY443" i="3"/>
  <c r="AY500" i="3"/>
  <c r="BP6" i="3"/>
  <c r="AY361" i="3"/>
  <c r="AY339" i="3"/>
  <c r="AY482" i="3"/>
  <c r="AY537" i="3"/>
  <c r="AY32" i="3"/>
  <c r="AY256" i="3"/>
  <c r="AY558" i="3"/>
  <c r="AY578" i="3"/>
  <c r="AY364" i="3"/>
  <c r="AY100" i="3"/>
  <c r="BG6" i="3"/>
  <c r="AY460" i="3"/>
  <c r="L18" i="9"/>
  <c r="AY386" i="3"/>
  <c r="AY315" i="3"/>
  <c r="AY522" i="3"/>
  <c r="AY113" i="3"/>
  <c r="AY288" i="3"/>
  <c r="AY216" i="3"/>
  <c r="AY431" i="3"/>
  <c r="BC6" i="3"/>
  <c r="AY128" i="3"/>
  <c r="AY346" i="3"/>
  <c r="AY524" i="3"/>
  <c r="AY194" i="3"/>
  <c r="AY220" i="3"/>
  <c r="AY388" i="3"/>
  <c r="L36" i="43"/>
  <c r="L37" i="43" s="1"/>
  <c r="M37" i="43" s="1"/>
  <c r="U10" i="40"/>
  <c r="AA10" i="40"/>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31" i="3"/>
  <c r="AY455" i="3"/>
  <c r="AY229" i="3"/>
  <c r="AY478" i="3"/>
  <c r="AY539" i="3"/>
  <c r="AY52" i="3"/>
  <c r="AY173" i="3"/>
  <c r="AY270" i="3"/>
  <c r="AY368" i="3"/>
  <c r="AY29" i="3"/>
  <c r="AY215" i="3"/>
  <c r="AY483" i="3"/>
  <c r="AY419" i="3"/>
  <c r="AY520" i="3"/>
  <c r="AY494" i="3"/>
  <c r="AY101" i="3"/>
  <c r="AY48" i="3"/>
  <c r="AY158" i="3"/>
  <c r="AY287" i="3"/>
  <c r="AY23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C10" i="39"/>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18" i="3"/>
  <c r="AY336" i="3"/>
  <c r="AY298" i="3"/>
  <c r="AY498" i="3"/>
  <c r="BD6" i="3"/>
  <c r="AY490" i="3"/>
  <c r="AY367" i="3"/>
  <c r="AY241" i="3"/>
  <c r="AY148" i="3"/>
  <c r="AY70" i="3"/>
  <c r="BL6" i="3"/>
  <c r="AY437" i="3"/>
  <c r="AY362" i="3"/>
  <c r="AY285" i="3"/>
  <c r="AY46" i="3"/>
  <c r="AY570" i="3"/>
  <c r="AY14" i="3"/>
  <c r="AY426" i="3"/>
  <c r="AY312" i="3"/>
  <c r="AY380" i="3"/>
  <c r="AY65" i="3"/>
  <c r="AY438" i="3"/>
  <c r="AY227" i="3"/>
  <c r="AY557" i="3"/>
  <c r="AY191" i="3"/>
  <c r="AY150" i="3"/>
  <c r="AY404" i="3"/>
  <c r="AY585" i="3"/>
  <c r="AY145" i="3"/>
  <c r="AY125" i="3"/>
  <c r="AY401" i="3"/>
  <c r="AY284" i="3"/>
  <c r="AY59" i="3"/>
  <c r="D3" i="33"/>
  <c r="D3" i="34"/>
  <c r="E6" i="6"/>
  <c r="D10" i="68"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50" i="3"/>
  <c r="AY352" i="3"/>
  <c r="AY122" i="3"/>
  <c r="AY586" i="3"/>
  <c r="AY429" i="3"/>
  <c r="AY306" i="3"/>
  <c r="AY391" i="3"/>
  <c r="AY277" i="3"/>
  <c r="AY179" i="3"/>
  <c r="AY55" i="3"/>
  <c r="AY560" i="3"/>
  <c r="AY456" i="3"/>
  <c r="AY378" i="3"/>
  <c r="AY135" i="3"/>
  <c r="AY63" i="3"/>
  <c r="AY542" i="3"/>
  <c r="AY506" i="3"/>
  <c r="AY458" i="3"/>
  <c r="AY344" i="3"/>
  <c r="AY251" i="3"/>
  <c r="AY582" i="3"/>
  <c r="AY341" i="3"/>
  <c r="AY291" i="3"/>
  <c r="AY343" i="3"/>
  <c r="AY556" i="3"/>
  <c r="AY389" i="3"/>
  <c r="AY199" i="3"/>
  <c r="AY430" i="3"/>
  <c r="AY73" i="3"/>
  <c r="AY185" i="3"/>
  <c r="AY327" i="3"/>
  <c r="AY160" i="3"/>
  <c r="AY23" i="3"/>
  <c r="C17" i="4"/>
  <c r="B4" i="52" s="1"/>
  <c r="B43" i="72" s="1"/>
  <c r="M18" i="9"/>
  <c r="B118" i="9"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92" i="3"/>
  <c r="AY385" i="3"/>
  <c r="AY142" i="3"/>
  <c r="AY511" i="3"/>
  <c r="AY416" i="3"/>
  <c r="AY338" i="3"/>
  <c r="AY224" i="3"/>
  <c r="AY119" i="3"/>
  <c r="AY184" i="3"/>
  <c r="AY91" i="3"/>
  <c r="AY517" i="3"/>
  <c r="AY469" i="3"/>
  <c r="AY232" i="3"/>
  <c r="AY156" i="3"/>
  <c r="AY99" i="3"/>
  <c r="AY565" i="3"/>
  <c r="AY407" i="3"/>
  <c r="AY468" i="3"/>
  <c r="AY329" i="3"/>
  <c r="AY137" i="3"/>
  <c r="AY543" i="3"/>
  <c r="AY121" i="3"/>
  <c r="AY193" i="3"/>
  <c r="AY497" i="3"/>
  <c r="AY525" i="3"/>
  <c r="AY126" i="3"/>
  <c r="AY75" i="3"/>
  <c r="AY316" i="3"/>
  <c r="AY374" i="3"/>
  <c r="AY76" i="3"/>
  <c r="AY300" i="3"/>
  <c r="AY371" i="3"/>
  <c r="H6" i="3"/>
  <c r="AC6" i="3"/>
  <c r="C47" i="68"/>
  <c r="D45" i="68" s="1"/>
  <c r="F45" i="68"/>
  <c r="C47" i="11"/>
  <c r="D45" i="11" s="1"/>
  <c r="D116" i="43"/>
  <c r="F25" i="12"/>
  <c r="C26" i="12" s="1"/>
  <c r="D25" i="12" s="1"/>
  <c r="F24" i="15"/>
  <c r="C24" i="15" s="1"/>
  <c r="F22" i="68"/>
  <c r="F41" i="68" s="1"/>
  <c r="F22" i="69"/>
  <c r="F41" i="69" s="1"/>
  <c r="F22" i="11"/>
  <c r="C23" i="11" s="1"/>
  <c r="F24" i="67"/>
  <c r="C24" i="67"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5" i="6"/>
  <c r="D20" i="6"/>
  <c r="D14" i="6"/>
  <c r="L19" i="9"/>
  <c r="H21" i="6"/>
  <c r="D23" i="6"/>
  <c r="D13"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D10" i="69" l="1"/>
  <c r="D20" i="12"/>
  <c r="C20" i="12" s="1"/>
  <c r="C18" i="12" s="1"/>
  <c r="E7" i="70"/>
  <c r="D10" i="11"/>
  <c r="C10" i="11" s="1"/>
  <c r="B14" i="74"/>
  <c r="B1" i="74" s="1"/>
  <c r="C44" i="68"/>
  <c r="D41" i="68" s="1"/>
  <c r="N37" i="43"/>
  <c r="Q37" i="43"/>
  <c r="M36" i="43"/>
  <c r="P37" i="43"/>
  <c r="Q36" i="43"/>
  <c r="O37" i="43"/>
  <c r="N36" i="43"/>
  <c r="P36" i="43"/>
  <c r="O36" i="43"/>
  <c r="H26" i="6"/>
  <c r="D11" i="6"/>
  <c r="C18" i="4"/>
  <c r="A10" i="51" s="1"/>
  <c r="B9" i="72" s="1"/>
  <c r="H22" i="6"/>
  <c r="D10" i="6"/>
  <c r="D8" i="6"/>
  <c r="D24" i="6"/>
  <c r="D25" i="6"/>
  <c r="E61" i="40"/>
  <c r="D12" i="6"/>
  <c r="D19" i="6"/>
  <c r="H25" i="6"/>
  <c r="D9" i="6"/>
  <c r="D26" i="6"/>
  <c r="D21" i="6"/>
  <c r="D28" i="6"/>
  <c r="D5" i="6"/>
  <c r="H24" i="6"/>
  <c r="D29" i="6"/>
  <c r="D6" i="6"/>
  <c r="M19" i="9"/>
  <c r="C118" i="9" s="1"/>
  <c r="B2" i="74" s="1"/>
  <c r="E6" i="3"/>
  <c r="C26" i="68"/>
  <c r="D22" i="68" s="1"/>
  <c r="C26" i="11"/>
  <c r="D22" i="11" s="1"/>
  <c r="C44" i="69"/>
  <c r="D41" i="69" s="1"/>
  <c r="C44" i="11"/>
  <c r="D41" i="11" s="1"/>
  <c r="C25" i="11"/>
  <c r="C24" i="1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2" i="6"/>
  <c r="R9" i="1" s="1"/>
  <c r="C15" i="12"/>
  <c r="C12" i="12"/>
  <c r="D27" i="6"/>
  <c r="D8" i="74"/>
  <c r="D7" i="74"/>
  <c r="R21" i="6"/>
  <c r="R8" i="1" s="1"/>
  <c r="C10" i="69"/>
  <c r="C8" i="69" s="1"/>
  <c r="C5" i="69" s="1"/>
  <c r="D19" i="69"/>
  <c r="F50" i="69"/>
  <c r="F50" i="11"/>
  <c r="F50" i="68"/>
  <c r="C4" i="52"/>
  <c r="B45"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4" i="6" l="1"/>
  <c r="R11" i="1" s="1"/>
  <c r="D30" i="6"/>
  <c r="D31" i="6" s="1"/>
  <c r="R25" i="6"/>
  <c r="R12" i="1" s="1"/>
  <c r="R26" i="6"/>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I5" i="6"/>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35"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AO10"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D6" i="71"/>
  <c r="C5" i="71"/>
  <c r="D5" i="71" s="1"/>
  <c r="M24" i="43" s="1"/>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F118" i="9" l="1"/>
  <c r="G118" i="9" s="1"/>
  <c r="G4" i="52" s="1"/>
  <c r="B52" i="72" s="1"/>
  <c r="D118" i="9"/>
  <c r="D119" i="9" s="1"/>
  <c r="D5" i="52" s="1"/>
  <c r="B49" i="72" s="1"/>
  <c r="H118" i="9"/>
  <c r="H101" i="9" l="1"/>
  <c r="D5" i="53" s="1"/>
  <c r="D14" i="74"/>
  <c r="G14" i="74" s="1"/>
  <c r="F119" i="9"/>
  <c r="F5" i="52" s="1"/>
  <c r="B53" i="72" s="1"/>
  <c r="F4" i="52"/>
  <c r="B51" i="72" s="1"/>
  <c r="D45" i="9"/>
  <c r="I118" i="9"/>
  <c r="C104" i="9"/>
  <c r="H119" i="9"/>
  <c r="H5" i="52" s="1"/>
  <c r="H4" i="52"/>
  <c r="D4" i="52"/>
  <c r="B47" i="72" s="1"/>
  <c r="M48" i="9" l="1"/>
  <c r="H107" i="9"/>
  <c r="D122" i="9" s="1"/>
  <c r="F14" i="74"/>
  <c r="E14" i="74"/>
  <c r="D6" i="53"/>
  <c r="B22" i="72" s="1"/>
  <c r="B20" i="72"/>
  <c r="H102" i="9"/>
  <c r="I4" i="52"/>
  <c r="C105" i="9"/>
  <c r="E118" i="9"/>
  <c r="E4" i="52" s="1"/>
  <c r="B48" i="72" s="1"/>
  <c r="C93" i="9"/>
  <c r="C86" i="9" s="1"/>
  <c r="C72" i="9"/>
  <c r="C64" i="9"/>
  <c r="C63" i="9" s="1"/>
  <c r="C67" i="9" s="1"/>
  <c r="D52" i="9"/>
  <c r="C85" i="9"/>
  <c r="D53" i="9"/>
  <c r="D55" i="9"/>
  <c r="M53" i="9" s="1"/>
  <c r="C78" i="9"/>
  <c r="C73" i="9" s="1"/>
  <c r="D13" i="53" l="1"/>
  <c r="C95" i="9"/>
  <c r="C96" i="9" s="1"/>
  <c r="E96" i="9" s="1"/>
  <c r="E97" i="9" s="1"/>
  <c r="C68" i="9"/>
  <c r="D54" i="9" s="1"/>
  <c r="D59" i="9"/>
  <c r="M55" i="9" s="1"/>
  <c r="C79" i="9"/>
  <c r="B30" i="72"/>
  <c r="D14" i="53"/>
  <c r="B32" i="72" s="1"/>
  <c r="D7" i="53"/>
  <c r="B21" i="72" s="1"/>
  <c r="H108" i="9"/>
  <c r="D8" i="52"/>
  <c r="D123" i="9"/>
  <c r="D9" i="52" s="1"/>
  <c r="C97" i="9" l="1"/>
  <c r="D58" i="9" s="1"/>
  <c r="D56" i="9" s="1"/>
  <c r="M54" i="9" s="1"/>
  <c r="N57" i="9" s="1"/>
  <c r="P57" i="9" s="1"/>
  <c r="C80" i="9"/>
  <c r="E80" i="9" s="1"/>
  <c r="E81" i="9" s="1"/>
  <c r="D15" i="53"/>
  <c r="B31" i="72" s="1"/>
  <c r="N58" i="9" l="1"/>
  <c r="N59" i="9"/>
  <c r="N61" i="9" s="1"/>
  <c r="C81" i="9"/>
  <c r="N60" i="9" l="1"/>
  <c r="B6" i="74" l="1"/>
  <c r="D6" i="74" l="1"/>
  <c r="C6" i="74"/>
  <c r="F15" i="74"/>
  <c r="E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C2" author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<sst xmlns="http://schemas.openxmlformats.org/spreadsheetml/2006/main" count="7916" uniqueCount="3510">
  <si>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</si>
  <si>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</si>
  <si>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</si>
  <si>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</si>
  <si>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</si>
  <si>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</si>
  <si>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</si>
  <si>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</si>
  <si>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</si>
  <si>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</si>
  <si>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</si>
  <si>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</si>
  <si>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</si>
  <si>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</si>
  <si>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</si>
  <si>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</si>
  <si>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</si>
  <si>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</si>
  <si>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</si>
  <si>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</si>
  <si>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</si>
  <si>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</si>
  <si>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</si>
  <si>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</si>
  <si>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</si>
  <si>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</si>
  <si>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</si>
  <si>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</si>
  <si>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</si>
  <si>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</si>
  <si>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</si>
  <si>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</si>
  <si>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</si>
  <si>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</si>
  <si>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</si>
  <si>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</si>
  <si>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</si>
  <si>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</si>
  <si>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</si>
  <si>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</si>
  <si>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</si>
  <si>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</si>
  <si>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</si>
  <si>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</si>
  <si>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</si>
  <si>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</si>
  <si>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</si>
  <si>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</si>
  <si>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</si>
  <si>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</si>
  <si>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</si>
  <si>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</si>
  <si>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</si>
  <si>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</si>
  <si>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</si>
  <si>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</si>
  <si>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</si>
  <si>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</si>
  <si>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</si>
  <si>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</si>
  <si>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</si>
  <si>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</si>
  <si>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</si>
  <si>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</si>
  <si>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</si>
  <si>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</si>
  <si>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</si>
  <si>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</si>
  <si>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</si>
  <si>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</si>
  <si>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</si>
  <si>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</si>
  <si>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</si>
  <si>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</si>
  <si>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</si>
  <si>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</si>
  <si>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</si>
  <si>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</si>
  <si>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</si>
  <si>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</si>
  <si>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</si>
  <si>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</si>
  <si>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</si>
  <si>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</si>
  <si>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</si>
  <si>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</si>
  <si>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</si>
  <si>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</si>
  <si>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</si>
  <si>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</si>
  <si>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</si>
  <si>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</si>
  <si>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</si>
  <si>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</si>
  <si>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</si>
  <si>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</si>
  <si>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</si>
  <si>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</si>
  <si>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</si>
  <si>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</si>
  <si>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</si>
  <si>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</si>
  <si>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</si>
  <si>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</si>
  <si>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</si>
  <si>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</si>
  <si>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</si>
  <si>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</si>
  <si>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</si>
  <si>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</si>
  <si>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</si>
  <si>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</si>
  <si>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</si>
  <si>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</si>
  <si>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</si>
  <si>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</si>
  <si>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</si>
  <si>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</si>
  <si>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</si>
  <si>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</si>
  <si>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</si>
  <si>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</si>
  <si>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</si>
  <si>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</si>
  <si>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</si>
  <si>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</si>
  <si>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</si>
  <si>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</si>
  <si>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</si>
  <si>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</si>
  <si>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</si>
  <si>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</si>
  <si>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</si>
  <si>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</si>
  <si>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</si>
  <si>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</si>
  <si>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</si>
  <si>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</si>
  <si>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</si>
  <si>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</si>
  <si>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</si>
  <si>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</si>
  <si>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</si>
  <si>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</si>
  <si>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</si>
  <si>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</si>
  <si>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</si>
  <si>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</si>
  <si>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</si>
  <si>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</si>
  <si>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</si>
  <si>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</si>
  <si>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</si>
  <si>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</si>
  <si>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</si>
  <si>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</si>
  <si>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</si>
  <si>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</si>
  <si>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</si>
  <si>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</si>
  <si>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</si>
  <si>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</si>
  <si>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</si>
  <si>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</si>
  <si>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</si>
  <si>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</si>
  <si>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</si>
  <si>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</si>
  <si>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</si>
  <si>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</si>
  <si>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</si>
  <si>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</si>
  <si>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</si>
  <si>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</si>
  <si>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</si>
  <si>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</si>
  <si>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</si>
  <si>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</si>
  <si>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</si>
  <si>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</si>
  <si>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</si>
  <si>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</si>
  <si>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</si>
  <si>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</si>
  <si>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</si>
  <si>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</si>
  <si>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</si>
  <si>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</si>
  <si>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</si>
  <si>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</si>
  <si>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</si>
  <si>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</si>
  <si>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</si>
  <si>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</si>
  <si>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</si>
  <si>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</si>
  <si>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</si>
  <si>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</si>
  <si>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</si>
  <si>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</si>
  <si>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</si>
  <si>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</si>
  <si>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</si>
  <si>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</si>
  <si>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</si>
  <si>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</si>
  <si>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</si>
  <si>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</si>
  <si>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</si>
  <si>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</si>
  <si>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</si>
  <si>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</si>
  <si>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</si>
  <si>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</si>
  <si>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</si>
  <si>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</si>
  <si>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</si>
  <si>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</si>
  <si>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</si>
  <si>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</si>
  <si>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</si>
  <si>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</si>
  <si>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</si>
  <si>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</si>
  <si>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</si>
  <si>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</si>
  <si>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</si>
  <si>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</si>
  <si>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</si>
  <si>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</si>
  <si>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</si>
  <si>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</si>
  <si>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</si>
  <si>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</si>
  <si>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</si>
  <si>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</si>
  <si>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</si>
  <si>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</si>
  <si>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</si>
  <si>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</si>
  <si>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</si>
  <si>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</si>
  <si>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</si>
  <si>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</si>
  <si>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</si>
  <si>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</si>
  <si>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</si>
  <si>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</si>
  <si>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</si>
  <si>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</si>
  <si>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</si>
  <si>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</si>
  <si>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</si>
  <si>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</si>
  <si>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</si>
  <si>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</si>
  <si>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</si>
  <si>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</si>
  <si>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</si>
  <si>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</si>
  <si>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</si>
  <si>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</si>
  <si>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</si>
  <si>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</si>
  <si>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</si>
  <si>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</si>
  <si>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</si>
  <si>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</si>
  <si>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</si>
  <si>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</si>
  <si>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</si>
  <si>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</si>
  <si>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</si>
  <si>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</si>
  <si>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</si>
  <si>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</si>
  <si>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</si>
  <si>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</si>
  <si>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</si>
  <si>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</si>
  <si>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</si>
  <si>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</si>
  <si>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</si>
  <si>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</si>
  <si>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</si>
  <si>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</si>
  <si>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</si>
  <si>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</si>
  <si>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</si>
  <si>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</si>
  <si>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</si>
  <si>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</si>
  <si>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</si>
  <si>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</si>
  <si>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</si>
  <si>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</si>
  <si>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</si>
  <si>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</si>
  <si>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</si>
  <si>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</si>
  <si>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</si>
  <si>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</si>
  <si>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</si>
  <si>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</si>
  <si>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</si>
  <si>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</si>
  <si>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</si>
  <si>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</si>
  <si>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</si>
  <si>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</si>
  <si>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</si>
  <si>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</si>
  <si>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</si>
  <si>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</si>
  <si>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</si>
  <si>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</si>
  <si>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</si>
  <si>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</si>
  <si>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</si>
  <si>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</si>
  <si>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</si>
  <si>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</si>
  <si>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</si>
  <si>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</si>
  <si>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</si>
  <si>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</si>
  <si>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</si>
  <si>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</si>
  <si>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</si>
  <si>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</si>
  <si>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</si>
  <si>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</si>
  <si>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</si>
  <si>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</si>
  <si>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</si>
  <si>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</si>
  <si>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</si>
  <si>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</si>
  <si>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</si>
  <si>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</si>
  <si>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</si>
  <si>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</si>
  <si>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</si>
  <si>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</si>
  <si>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</si>
  <si>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</si>
  <si>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</si>
  <si>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</si>
  <si>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</si>
  <si>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</si>
  <si>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</si>
  <si>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</si>
  <si>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</si>
  <si>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</si>
  <si>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</si>
  <si>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</si>
  <si>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</si>
  <si>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</si>
  <si>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</si>
  <si>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</si>
  <si>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</si>
  <si>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</si>
  <si>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</si>
  <si>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</si>
  <si>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</si>
  <si>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</si>
  <si>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</si>
  <si>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</si>
  <si>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</si>
  <si>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</si>
  <si>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</si>
  <si>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</si>
  <si>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</si>
  <si>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</si>
  <si>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</si>
  <si>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</si>
  <si>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</si>
  <si>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</si>
  <si>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</si>
  <si>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</si>
  <si>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</si>
  <si>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</si>
  <si>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</si>
  <si>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</si>
  <si>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</si>
  <si>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</si>
  <si>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</si>
  <si>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</si>
  <si>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</si>
  <si>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</si>
  <si>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</si>
  <si>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</si>
  <si>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</si>
  <si>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</si>
  <si>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</si>
  <si>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</si>
  <si>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</si>
  <si>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</si>
  <si>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</si>
  <si>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</si>
  <si>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</si>
  <si>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</si>
  <si>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</si>
  <si>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</si>
  <si>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</si>
  <si>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</si>
  <si>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</si>
  <si>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</si>
  <si>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</si>
  <si>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</si>
  <si>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</si>
  <si>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</si>
  <si>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</si>
  <si>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</si>
  <si>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</si>
  <si>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</si>
  <si>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</si>
  <si>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</si>
  <si>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</si>
  <si>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</si>
  <si>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</si>
  <si>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</si>
  <si>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</si>
  <si>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</si>
  <si>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</si>
  <si>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</si>
  <si>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</si>
  <si>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</si>
  <si>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</si>
  <si>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</si>
  <si>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</si>
  <si>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</si>
  <si>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</si>
  <si>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</si>
  <si>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</si>
  <si>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</si>
  <si>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</si>
  <si>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</si>
  <si>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</si>
  <si>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</si>
  <si>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</si>
  <si>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</si>
  <si>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</si>
  <si>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</si>
  <si>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</si>
  <si>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</si>
  <si>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</si>
  <si>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</si>
  <si>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</si>
  <si>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</si>
  <si>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</si>
  <si>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</si>
  <si>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</si>
  <si>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</si>
  <si>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</si>
  <si>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</si>
  <si>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</si>
  <si>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</si>
  <si>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</si>
  <si>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</si>
  <si>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</si>
  <si>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</si>
  <si>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</si>
  <si>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</si>
  <si>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</si>
  <si>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</si>
  <si>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</si>
  <si>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</si>
  <si>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</si>
  <si>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</si>
  <si>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</si>
  <si>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</si>
  <si>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</si>
  <si>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</si>
  <si>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</si>
  <si>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</si>
  <si>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</si>
  <si>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</si>
  <si>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</si>
  <si>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</si>
  <si>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</si>
  <si>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</si>
  <si>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</si>
  <si>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</si>
  <si>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</si>
  <si>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</si>
  <si>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</si>
  <si>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</si>
  <si>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</si>
  <si>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</si>
  <si>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</si>
  <si>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</si>
  <si>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</si>
  <si>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</si>
  <si>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</si>
  <si>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</si>
  <si>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</si>
  <si>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</si>
  <si>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</si>
  <si>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</si>
  <si>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</si>
  <si>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</si>
  <si>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</si>
  <si>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</si>
  <si>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</si>
  <si>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</si>
  <si>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</si>
  <si>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</si>
  <si>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</si>
  <si>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</si>
  <si>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</si>
  <si>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</si>
  <si>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</si>
  <si>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</si>
  <si>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</si>
  <si>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</si>
  <si>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</si>
  <si>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</si>
  <si>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</si>
  <si>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</si>
  <si>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</si>
  <si>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</si>
  <si>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</si>
  <si>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</si>
  <si>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</si>
  <si>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</si>
  <si>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</si>
  <si>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</si>
  <si>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</si>
  <si>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</si>
  <si>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</si>
  <si>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</si>
  <si>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</si>
  <si>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</si>
  <si>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</si>
  <si>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</si>
  <si>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</si>
  <si>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</si>
  <si>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</si>
  <si>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</si>
  <si>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</si>
  <si>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</si>
  <si>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</si>
  <si>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</si>
  <si>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</si>
  <si>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</si>
  <si>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</si>
  <si>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</si>
  <si>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</si>
  <si>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</si>
  <si>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</si>
  <si>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</si>
  <si>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</si>
  <si>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</si>
  <si>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</si>
  <si>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</si>
  <si>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</si>
  <si>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</si>
  <si>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</si>
  <si>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</si>
  <si>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</si>
  <si>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</si>
  <si>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</si>
  <si>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</si>
  <si>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</si>
  <si>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</si>
  <si>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</si>
  <si>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</si>
  <si>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</si>
  <si>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</si>
  <si>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</si>
  <si>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</si>
  <si>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</si>
  <si>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</si>
  <si>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</si>
  <si>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</si>
  <si>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</si>
  <si>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</si>
  <si>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</si>
  <si>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</si>
  <si>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</si>
  <si>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</si>
  <si>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</si>
  <si>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</si>
  <si>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</si>
  <si>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</si>
  <si>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</si>
  <si>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</si>
  <si>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</si>
  <si>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</si>
  <si>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</si>
  <si>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</si>
  <si>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</si>
  <si>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</si>
  <si>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</si>
  <si>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</si>
  <si>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</si>
  <si>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</si>
  <si>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</si>
  <si>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</si>
  <si>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</si>
  <si>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</si>
  <si>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</si>
  <si>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</si>
  <si>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</si>
  <si>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</si>
  <si>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</si>
  <si>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</si>
  <si>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</si>
  <si>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</si>
  <si>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</si>
  <si>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</si>
  <si>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</si>
  <si>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</si>
  <si>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</si>
  <si>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</si>
  <si>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</si>
  <si>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</si>
  <si>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</si>
  <si>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</si>
  <si>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</si>
  <si>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</si>
  <si>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</si>
  <si>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</si>
  <si>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</si>
  <si>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</si>
  <si>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</si>
  <si>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</si>
  <si>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</si>
  <si>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</si>
  <si>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</si>
  <si>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</si>
  <si>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</si>
  <si>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</si>
  <si>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</si>
  <si>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</si>
  <si>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</si>
  <si>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</si>
  <si>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</si>
  <si>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</si>
  <si>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</si>
  <si>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</si>
  <si>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</si>
  <si>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</si>
  <si>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</si>
  <si>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</si>
  <si>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</si>
  <si>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</si>
  <si>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</si>
  <si>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</si>
  <si>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</si>
  <si>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</si>
  <si>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</si>
  <si>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</si>
  <si>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</si>
  <si>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</si>
  <si>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</si>
  <si>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</si>
  <si>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</si>
  <si>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</si>
  <si>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</si>
  <si>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</si>
  <si>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</si>
  <si>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</si>
  <si>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</si>
  <si>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</si>
  <si>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</si>
  <si>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</si>
  <si>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</si>
  <si>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</si>
  <si>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</si>
  <si>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</si>
  <si>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</si>
  <si>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</si>
  <si>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</si>
  <si>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</si>
  <si>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</si>
  <si>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</si>
  <si>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</si>
  <si>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</si>
  <si>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</si>
  <si>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</si>
  <si>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</si>
  <si>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</si>
  <si>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</si>
  <si>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</si>
  <si>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</si>
  <si>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</si>
  <si>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</si>
  <si>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</si>
  <si>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</si>
  <si>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</si>
  <si>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</si>
  <si>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</si>
  <si>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</si>
  <si>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</si>
  <si>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</si>
  <si>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</si>
  <si>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</si>
  <si>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</si>
  <si>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</si>
  <si>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</si>
  <si>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</si>
  <si>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</si>
  <si>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</si>
  <si>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</si>
  <si>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</si>
  <si>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</si>
  <si>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</si>
  <si>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</si>
  <si>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</si>
  <si>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</si>
  <si>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</si>
  <si>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</si>
  <si>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</si>
  <si>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</si>
  <si>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</si>
  <si>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</si>
  <si>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</si>
  <si>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</si>
  <si>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</si>
  <si>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</si>
  <si>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</si>
  <si>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</si>
  <si>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</si>
  <si>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</si>
  <si>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</si>
  <si>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</si>
  <si>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</si>
  <si>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</si>
  <si>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</si>
  <si>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</si>
  <si>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</si>
  <si>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</si>
  <si>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</si>
  <si>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</si>
  <si>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</si>
  <si>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</si>
  <si>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</si>
  <si>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</si>
  <si>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</si>
  <si>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</si>
  <si>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</si>
  <si>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</si>
  <si>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</si>
  <si>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</si>
  <si>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</si>
  <si>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</si>
  <si>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</si>
  <si>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</si>
  <si>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</si>
  <si>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</si>
  <si>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</si>
  <si>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</si>
  <si>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</si>
  <si>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</si>
  <si>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</si>
  <si>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</si>
  <si>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</si>
  <si>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</si>
  <si>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</si>
  <si>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</si>
  <si>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</si>
  <si>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</si>
  <si>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</si>
  <si>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</si>
  <si>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</si>
  <si>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</si>
  <si>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</si>
  <si>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</si>
  <si>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</si>
  <si>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</si>
  <si>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</si>
  <si>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</si>
  <si>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</si>
  <si>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</si>
  <si>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</si>
  <si>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</si>
  <si>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</si>
  <si>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</si>
  <si>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</si>
  <si>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</si>
  <si>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</si>
  <si>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</si>
  <si>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</si>
  <si>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</si>
  <si>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</si>
  <si>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</si>
  <si>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</si>
  <si>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</si>
  <si>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</si>
  <si>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</si>
  <si>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</si>
  <si>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</si>
  <si>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</si>
  <si>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</si>
  <si>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</si>
  <si>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</si>
  <si>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</si>
  <si>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</si>
  <si>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</si>
  <si>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</si>
  <si>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</si>
  <si>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</si>
  <si>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</si>
  <si>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</si>
  <si>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</si>
  <si>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</si>
  <si>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</si>
  <si>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</si>
  <si>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</si>
  <si>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</si>
  <si>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</si>
  <si>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</si>
  <si>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</si>
  <si>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</si>
  <si>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</si>
  <si>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</si>
  <si>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</si>
  <si>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</si>
  <si>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</si>
  <si>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</si>
  <si>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</si>
  <si>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</si>
  <si>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</si>
  <si>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</si>
  <si>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</si>
  <si>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</si>
  <si>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</si>
  <si>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</si>
  <si>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</si>
  <si>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</si>
  <si>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</si>
  <si>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</si>
  <si>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</si>
  <si>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</si>
  <si>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</si>
  <si>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</si>
  <si>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</si>
  <si>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</si>
  <si>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</si>
  <si>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</si>
  <si>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</si>
  <si>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</si>
  <si>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</si>
  <si>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</si>
  <si>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</si>
  <si>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</si>
  <si>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</si>
  <si>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</si>
  <si>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</si>
  <si>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</si>
  <si>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</si>
  <si>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</si>
  <si>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</si>
  <si>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</si>
  <si>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</si>
  <si>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</si>
  <si>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</si>
  <si>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</si>
  <si>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</si>
  <si>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</si>
  <si>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</si>
  <si>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</si>
  <si>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</si>
  <si>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</si>
  <si>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</si>
  <si>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</si>
  <si>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</si>
  <si>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</si>
  <si>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</si>
  <si>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</si>
  <si>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</si>
  <si>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</si>
  <si>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</si>
  <si>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</si>
  <si>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</si>
  <si>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</si>
  <si>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</si>
  <si>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</si>
  <si>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</si>
  <si>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</si>
  <si>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</si>
  <si>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</si>
  <si>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</si>
  <si>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</si>
  <si>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</si>
  <si>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</si>
  <si>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</si>
  <si>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</si>
  <si>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</si>
  <si>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</si>
  <si>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</si>
  <si>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</si>
  <si>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</si>
  <si>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</si>
  <si>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</si>
  <si>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</si>
  <si>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</si>
  <si>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</si>
  <si>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</si>
  <si>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</si>
  <si>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</si>
  <si>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</si>
  <si>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</si>
  <si>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</si>
  <si>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</si>
  <si>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</si>
  <si>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</si>
  <si>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</si>
  <si>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</si>
  <si>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</si>
  <si>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</si>
  <si>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</si>
  <si>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</si>
  <si>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</si>
  <si>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</si>
  <si>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</si>
  <si>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</si>
  <si>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</si>
  <si>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</si>
  <si>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</si>
  <si>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</si>
  <si>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</si>
  <si>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</si>
  <si>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</si>
  <si>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</si>
  <si>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</si>
  <si>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</si>
  <si>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</si>
  <si>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</si>
  <si>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</si>
  <si>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</si>
  <si>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</si>
  <si>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</si>
  <si>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</si>
  <si>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</si>
  <si>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</si>
  <si>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</si>
  <si>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</si>
  <si>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</si>
  <si>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</si>
  <si>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</si>
  <si>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</si>
  <si>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</si>
  <si>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</si>
  <si>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</si>
  <si>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</si>
  <si>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</si>
  <si>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</si>
  <si>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</si>
  <si>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</si>
  <si>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</si>
  <si>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</si>
  <si>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</si>
  <si>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</si>
  <si>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</si>
  <si>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</si>
  <si>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</si>
  <si>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</si>
  <si>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</si>
  <si>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</si>
  <si>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</si>
  <si>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</si>
  <si>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</si>
  <si>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</si>
  <si>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</si>
  <si>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</si>
  <si>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</si>
  <si>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</si>
  <si>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</si>
  <si>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</si>
  <si>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</si>
  <si>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</si>
  <si>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</si>
  <si>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</si>
  <si>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</si>
  <si>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</si>
  <si>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</si>
  <si>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</si>
  <si>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</si>
  <si>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</si>
  <si>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</si>
  <si>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</si>
  <si>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</si>
  <si>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</si>
  <si>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</si>
  <si>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</si>
  <si>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</si>
  <si>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</si>
  <si>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</si>
  <si>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</si>
  <si>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</si>
  <si>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</si>
  <si>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</si>
  <si>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</si>
  <si>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</si>
  <si>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</si>
  <si>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</si>
  <si>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</si>
  <si>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</si>
  <si>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</si>
  <si>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</si>
  <si>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</si>
  <si>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</si>
  <si>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</si>
  <si>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</si>
  <si>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</si>
  <si>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</si>
  <si>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</si>
  <si>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</si>
  <si>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</si>
  <si>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</si>
  <si>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</si>
  <si>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</si>
  <si>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</si>
  <si>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</si>
  <si>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</si>
  <si>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</si>
  <si>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</si>
  <si>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</si>
  <si>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</si>
  <si>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</si>
  <si>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</si>
  <si>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</si>
  <si>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</si>
  <si>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</si>
  <si>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</si>
  <si>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</si>
  <si>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</si>
  <si>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</si>
  <si>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</si>
  <si>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</si>
  <si>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</si>
  <si>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</si>
  <si>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</si>
  <si>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</si>
  <si>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</si>
  <si>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</si>
  <si>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</si>
  <si>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</si>
  <si>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</si>
  <si>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</si>
  <si>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</si>
  <si>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</si>
  <si>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</si>
  <si>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</si>
  <si>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</si>
  <si>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</si>
  <si>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</si>
  <si>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</si>
  <si>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</si>
  <si>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</si>
  <si>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</si>
  <si>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</si>
  <si>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</si>
  <si>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</si>
  <si>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</si>
  <si>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</si>
  <si>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</si>
  <si>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</si>
  <si>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</si>
  <si>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</si>
  <si>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</si>
  <si>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</si>
  <si>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</si>
  <si>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</si>
  <si>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</si>
  <si>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</si>
  <si>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</si>
  <si>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</si>
  <si>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</si>
  <si>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</si>
  <si>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</si>
  <si>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</si>
  <si>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</si>
  <si>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</si>
  <si>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</si>
  <si>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</si>
  <si>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</si>
  <si>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</si>
  <si>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</si>
  <si>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</si>
  <si>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</si>
  <si>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</si>
  <si>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</si>
  <si>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</si>
  <si>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</si>
  <si>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</si>
  <si>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</si>
  <si>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</si>
  <si>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</si>
  <si>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</si>
  <si>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</si>
  <si>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</si>
  <si>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</si>
  <si>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</si>
  <si>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</si>
  <si>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</si>
  <si>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</si>
  <si>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</si>
  <si>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</si>
  <si>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</si>
  <si>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</si>
  <si>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</si>
  <si>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</si>
  <si>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</si>
  <si>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</si>
  <si>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</si>
  <si>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</si>
  <si>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</si>
  <si>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</si>
  <si>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</si>
  <si>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</si>
  <si>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</si>
  <si>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</si>
  <si>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</si>
  <si>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</si>
  <si>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</si>
  <si>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</si>
  <si>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</si>
  <si>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</si>
  <si>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</si>
  <si>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</si>
  <si>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</si>
  <si>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</si>
  <si>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</si>
  <si>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</si>
  <si>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</si>
  <si>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</si>
  <si>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</si>
  <si>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</si>
  <si>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</si>
  <si>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</si>
  <si>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</si>
  <si>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</si>
  <si>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</si>
  <si>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</si>
  <si>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</si>
  <si>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</si>
  <si>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</si>
  <si>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</si>
  <si>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</si>
  <si>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</si>
  <si>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</si>
  <si>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</si>
  <si>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</si>
  <si>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</si>
  <si>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</si>
  <si>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</si>
  <si>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</si>
  <si>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</si>
  <si>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</si>
  <si>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</si>
  <si>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</si>
  <si>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</si>
  <si>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</si>
  <si>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</si>
  <si>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</si>
  <si>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</si>
  <si>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</si>
  <si>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</si>
  <si>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</si>
  <si>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</si>
  <si>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</si>
  <si>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</si>
  <si>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</si>
  <si>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</si>
  <si>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</si>
  <si>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</si>
  <si>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</si>
  <si>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</si>
  <si>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</si>
  <si>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</si>
  <si>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</si>
  <si>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</si>
  <si>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</si>
  <si>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</si>
  <si>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</si>
  <si>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</si>
  <si>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</si>
  <si>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</si>
  <si>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</si>
  <si>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</si>
  <si>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</si>
  <si>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</si>
  <si>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</si>
  <si>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</si>
  <si>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</si>
  <si>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</si>
  <si>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</si>
  <si>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</si>
  <si>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</si>
  <si>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</si>
  <si>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</si>
  <si>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</si>
  <si>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</si>
  <si>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</si>
  <si>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</si>
  <si>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</si>
  <si>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</si>
  <si>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</si>
  <si>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</si>
  <si>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</si>
  <si>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</si>
  <si>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</si>
  <si>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</si>
  <si>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</si>
  <si>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</si>
  <si>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</si>
  <si>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</si>
  <si>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</si>
  <si>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</si>
  <si>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</si>
  <si>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</si>
  <si>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</si>
  <si>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</si>
  <si>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</si>
  <si>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</si>
  <si>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</si>
  <si>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</si>
  <si>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</si>
  <si>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</si>
  <si>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</si>
  <si>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</si>
  <si>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</si>
  <si>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</si>
  <si>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</si>
  <si>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</si>
  <si>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</si>
  <si>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</si>
  <si>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</si>
  <si>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</si>
  <si>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</si>
  <si>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</si>
  <si>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</si>
  <si>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</si>
  <si>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</si>
  <si>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</si>
  <si>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</si>
  <si>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</si>
  <si>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</si>
  <si>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</si>
  <si>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</si>
  <si>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</si>
  <si>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</si>
  <si>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</si>
  <si>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</si>
  <si>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</si>
  <si>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</si>
  <si>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</si>
  <si>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</si>
  <si>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</si>
  <si>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</si>
  <si>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</si>
  <si>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</si>
  <si>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</si>
  <si>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</si>
  <si>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</si>
  <si>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</si>
  <si>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</si>
  <si>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</si>
  <si>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</si>
  <si>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</si>
  <si>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</si>
  <si>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</si>
  <si>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</si>
  <si>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</si>
  <si>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</si>
  <si>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</si>
  <si>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</si>
  <si>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</si>
  <si>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</si>
  <si>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</si>
  <si>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</si>
  <si>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</si>
  <si>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</si>
  <si>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</si>
  <si>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</si>
  <si>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</si>
  <si>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</si>
  <si>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</si>
  <si>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</si>
  <si>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</si>
  <si>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</si>
  <si>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</si>
  <si>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</si>
  <si>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</si>
  <si>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</si>
  <si>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</si>
  <si>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</si>
  <si>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</si>
  <si>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</si>
  <si>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</si>
  <si>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</si>
  <si>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</si>
  <si>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</si>
  <si>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</si>
  <si>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</si>
  <si>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</si>
  <si>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</si>
  <si>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</si>
  <si>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</si>
  <si>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</si>
  <si>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</si>
  <si>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</si>
  <si>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</si>
  <si>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</si>
  <si>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</si>
  <si>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</si>
  <si>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</si>
  <si>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</si>
  <si>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</si>
  <si>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</si>
  <si>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</si>
  <si>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</si>
  <si>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</si>
  <si>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</si>
  <si>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</si>
  <si>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</si>
  <si>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</si>
  <si>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</si>
  <si>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</si>
  <si>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</si>
  <si>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</si>
  <si>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</si>
  <si>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</si>
  <si>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</si>
  <si>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</si>
  <si>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</si>
  <si>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</si>
  <si>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</si>
  <si>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</si>
  <si>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</si>
  <si>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</si>
  <si>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</si>
  <si>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</si>
  <si>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</si>
  <si>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</si>
  <si>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</si>
  <si>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</si>
  <si>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</si>
  <si>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</si>
  <si>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</si>
  <si>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</si>
  <si>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</si>
  <si>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</si>
  <si>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</si>
  <si>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</si>
  <si>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</si>
  <si>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</si>
  <si>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</si>
  <si>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</si>
  <si>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</si>
  <si>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</si>
  <si>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</si>
  <si>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</si>
  <si>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</si>
  <si>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</si>
  <si>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</si>
  <si>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</si>
  <si>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</si>
  <si>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</si>
  <si>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</si>
  <si>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</si>
  <si>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</si>
  <si>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</si>
  <si>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</si>
  <si>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</si>
  <si>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</si>
  <si>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</si>
  <si>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</si>
  <si>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</si>
  <si>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</si>
  <si>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</si>
  <si>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</si>
  <si>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</si>
  <si>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</si>
  <si>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</si>
  <si>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</si>
  <si>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</si>
  <si>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</si>
  <si>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</si>
  <si>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</si>
  <si>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</si>
  <si>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</si>
  <si>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</si>
  <si>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</si>
  <si>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</si>
  <si>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</si>
  <si>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</si>
  <si>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</si>
  <si>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</si>
  <si>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</si>
  <si>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</si>
  <si>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</si>
  <si>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</si>
  <si>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</si>
  <si>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</si>
  <si>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</si>
  <si>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</si>
  <si>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</si>
  <si>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</si>
  <si>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</si>
  <si>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</si>
  <si>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</si>
  <si>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</si>
  <si>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</si>
  <si>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</si>
  <si>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</si>
  <si>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</si>
  <si>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</si>
  <si>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</si>
  <si>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</si>
  <si>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</si>
  <si>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</si>
  <si>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</si>
  <si>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</si>
  <si>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</si>
  <si>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</si>
  <si>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</si>
  <si>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</si>
  <si>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</si>
  <si>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</si>
  <si>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</si>
  <si>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</si>
  <si>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</si>
  <si>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</si>
  <si>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</si>
  <si>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</si>
  <si>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</si>
  <si>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</si>
  <si>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</si>
  <si>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</si>
  <si>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</si>
  <si>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</si>
  <si>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</si>
  <si>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</si>
  <si>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</si>
  <si>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</si>
  <si>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</si>
  <si>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</si>
  <si>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</si>
  <si>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</si>
  <si>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</si>
  <si>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</si>
  <si>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</si>
  <si>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</si>
  <si>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</si>
  <si>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</si>
  <si>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</si>
  <si>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</si>
  <si>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</si>
  <si>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</si>
  <si>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</si>
  <si>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</si>
  <si>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</si>
  <si>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</si>
  <si>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</si>
  <si>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</si>
  <si>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</si>
  <si>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</si>
  <si>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</si>
  <si>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</si>
  <si>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</si>
  <si>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</si>
  <si>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</si>
  <si>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</si>
  <si>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</si>
  <si>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</si>
  <si>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</si>
  <si>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</si>
  <si>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</si>
  <si>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</si>
  <si>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</si>
  <si>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</si>
  <si>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</si>
  <si>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</si>
  <si>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</si>
  <si>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</si>
  <si>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</si>
  <si>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</si>
  <si>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</si>
  <si>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</si>
  <si>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</si>
  <si>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</si>
  <si>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</si>
  <si>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</si>
  <si>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</si>
  <si>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</si>
  <si>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</si>
  <si>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</si>
  <si>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</si>
  <si>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</si>
  <si>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</si>
  <si>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</si>
  <si>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</si>
  <si>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</si>
  <si>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</si>
  <si>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</si>
  <si>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</si>
  <si>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</si>
  <si>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</si>
  <si>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</si>
  <si>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</si>
  <si>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</si>
  <si>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</si>
  <si>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</si>
  <si>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</si>
  <si>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</si>
  <si>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</si>
  <si>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</si>
  <si>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</si>
  <si>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</si>
  <si>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</si>
  <si>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</si>
  <si>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</si>
  <si>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</si>
  <si>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</si>
  <si>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</si>
  <si>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</si>
  <si>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</si>
  <si>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</si>
  <si>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</si>
  <si>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</si>
  <si>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</si>
  <si>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</si>
  <si>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</si>
  <si>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</si>
  <si>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</si>
  <si>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</si>
  <si>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</si>
  <si>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</si>
  <si>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</si>
  <si>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</si>
  <si>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</si>
  <si>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</si>
  <si>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</si>
  <si>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</si>
  <si>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</si>
  <si>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</si>
  <si>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</si>
  <si>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</si>
  <si>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</si>
  <si>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</si>
  <si>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</si>
  <si>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</si>
  <si>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</si>
  <si>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</si>
  <si>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</si>
  <si>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</si>
  <si>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</si>
  <si>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</si>
  <si>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</si>
  <si>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</si>
  <si>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</si>
  <si>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</si>
  <si>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</si>
  <si>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</si>
  <si>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</si>
  <si>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</si>
  <si>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</si>
  <si>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</si>
  <si>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</si>
  <si>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</si>
  <si>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</si>
  <si>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</si>
  <si>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</si>
  <si>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</si>
  <si>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</si>
  <si>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</si>
  <si>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</si>
  <si>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</si>
  <si>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</si>
  <si>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</si>
  <si>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</si>
  <si>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</si>
  <si>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</si>
  <si>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</si>
  <si>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</si>
  <si>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</si>
  <si>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</si>
  <si>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</si>
  <si>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</si>
  <si>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</si>
  <si>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</si>
  <si>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</si>
  <si>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</si>
  <si>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</si>
  <si>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</si>
  <si>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</si>
  <si>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</si>
  <si>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</si>
  <si>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</si>
  <si>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</si>
  <si>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</si>
  <si>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</si>
  <si>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</si>
  <si>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</si>
  <si>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</si>
  <si>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</si>
  <si>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</si>
  <si>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</si>
  <si>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</si>
  <si>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</si>
  <si>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</si>
  <si>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</si>
  <si>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</si>
  <si>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</si>
  <si>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</si>
  <si>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</si>
  <si>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</si>
  <si>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</si>
  <si>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</si>
  <si>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</si>
  <si>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</si>
  <si>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</si>
  <si>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</si>
  <si>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</si>
  <si>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</si>
  <si>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</si>
  <si>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</si>
  <si>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</si>
  <si>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</si>
  <si>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</si>
  <si>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</si>
  <si>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</si>
  <si>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</si>
  <si>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</si>
  <si>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</si>
  <si>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</si>
  <si>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</si>
  <si>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</si>
  <si>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</si>
  <si>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</si>
  <si>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</si>
  <si>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</si>
  <si>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</si>
  <si>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</si>
  <si>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</si>
  <si>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</si>
  <si>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</si>
  <si>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</si>
  <si>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</si>
  <si>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</si>
  <si>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</si>
  <si>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</si>
  <si>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</si>
  <si>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</si>
  <si>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</si>
  <si>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</si>
  <si>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</si>
  <si>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</si>
  <si>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</si>
  <si>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</si>
  <si>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</si>
  <si>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</si>
  <si>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</si>
  <si>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</si>
  <si>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</si>
  <si>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</si>
  <si>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</si>
  <si>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</si>
  <si>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</si>
  <si>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</si>
  <si>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</si>
  <si>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</si>
  <si>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</si>
  <si>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</si>
  <si>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</si>
  <si>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</si>
  <si>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</si>
  <si>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</si>
  <si>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</si>
  <si>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</si>
  <si>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</si>
  <si>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</si>
  <si>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</si>
  <si>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</si>
  <si>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</si>
  <si>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</si>
  <si>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</si>
  <si>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</si>
  <si>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</si>
  <si>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</si>
  <si>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</si>
  <si>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</si>
  <si>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</si>
  <si>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</si>
  <si>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</si>
  <si>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</si>
  <si>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</si>
  <si>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</si>
  <si>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</si>
  <si>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</si>
  <si>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</si>
  <si>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</si>
  <si>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</si>
  <si>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</si>
  <si>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</si>
  <si>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</si>
  <si>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</si>
  <si>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</si>
  <si>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</si>
  <si>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</si>
  <si>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</si>
  <si>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</si>
  <si>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</si>
  <si>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</si>
  <si>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</si>
  <si>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</si>
  <si>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</si>
  <si>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</si>
  <si>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</si>
  <si>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</si>
  <si>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</si>
  <si>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</si>
  <si>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</si>
  <si>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</si>
  <si>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</si>
  <si>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</si>
  <si>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</si>
  <si>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</si>
  <si>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</si>
  <si>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</si>
  <si>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</si>
  <si>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</si>
  <si>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</si>
  <si>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</si>
  <si>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</si>
  <si>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</si>
  <si>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</si>
  <si>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</si>
  <si>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</si>
  <si>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</si>
  <si>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</si>
  <si>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</si>
  <si>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</si>
  <si>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</si>
  <si>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</si>
  <si>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</si>
  <si>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</si>
  <si>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</si>
  <si>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</si>
  <si>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</si>
  <si>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</si>
  <si>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</si>
  <si>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</si>
  <si>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</si>
  <si>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</si>
  <si>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</si>
  <si>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</si>
  <si>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</si>
  <si>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</si>
  <si>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</si>
  <si>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</si>
  <si>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</si>
  <si>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</si>
  <si>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</si>
  <si>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</si>
  <si>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</si>
  <si>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</si>
  <si>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</si>
  <si>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</si>
  <si>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</si>
  <si>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</si>
  <si>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</si>
  <si>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</si>
  <si>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</si>
  <si>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</si>
  <si>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</si>
  <si>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</si>
  <si>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</si>
  <si>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</si>
  <si>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</si>
  <si>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</si>
  <si>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</si>
  <si>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</si>
  <si>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</si>
  <si>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</si>
  <si>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</si>
  <si>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</si>
  <si>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</si>
  <si>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</si>
  <si>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</si>
  <si>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</si>
  <si>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</si>
  <si>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</si>
  <si>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</si>
  <si>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</si>
  <si>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</si>
  <si>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</si>
  <si>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</si>
  <si>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</si>
  <si>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</si>
  <si>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</si>
  <si>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</si>
  <si>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</si>
  <si>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</si>
  <si>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</si>
  <si>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</si>
  <si>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</si>
  <si>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</si>
  <si>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</si>
  <si>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</si>
  <si>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</si>
  <si>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</si>
  <si>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</si>
  <si>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</si>
  <si>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</si>
  <si>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</si>
  <si>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</si>
  <si>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</si>
  <si>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</si>
  <si>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</si>
  <si>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</si>
  <si>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</si>
  <si>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</si>
  <si>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</si>
  <si>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</si>
  <si>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</si>
  <si>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</si>
  <si>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</si>
  <si>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</si>
  <si>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</si>
  <si>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</si>
  <si>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</si>
  <si>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</si>
  <si>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</si>
  <si>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</si>
  <si>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</si>
  <si>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</si>
  <si>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</si>
  <si>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</si>
  <si>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</si>
  <si>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</si>
  <si>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</si>
  <si>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</si>
  <si>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</si>
  <si>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</si>
  <si>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</si>
  <si>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</si>
  <si>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</si>
  <si>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</si>
  <si>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</si>
  <si>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</si>
  <si>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</si>
  <si>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</si>
  <si>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</si>
  <si>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</si>
  <si>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</si>
  <si>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</si>
  <si>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</si>
  <si>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</si>
  <si>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</si>
  <si>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</si>
  <si>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</si>
  <si>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</si>
  <si>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</si>
  <si>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</si>
  <si>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</si>
  <si>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</si>
  <si>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</si>
  <si>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</si>
  <si>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</si>
  <si>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</si>
  <si>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</si>
  <si>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</si>
  <si>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</si>
  <si>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</si>
  <si>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</si>
  <si>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</si>
  <si>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</si>
  <si>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</si>
  <si>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</si>
  <si>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</si>
  <si>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</si>
  <si>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</si>
  <si>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</si>
  <si>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</si>
  <si>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</si>
  <si>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</si>
  <si>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</si>
  <si>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</si>
  <si>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</si>
  <si>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</si>
  <si>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</si>
  <si>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</si>
  <si>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</si>
  <si>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</si>
  <si>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</si>
  <si>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</si>
  <si>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</si>
  <si>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</si>
  <si>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</si>
  <si>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</si>
  <si>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</si>
  <si>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</si>
  <si>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</si>
  <si>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</si>
  <si>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</si>
  <si>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</si>
  <si>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</si>
  <si>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</si>
  <si>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</si>
  <si>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</si>
  <si>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</si>
  <si>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</si>
  <si>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</si>
  <si>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</si>
  <si>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</si>
  <si>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</si>
  <si>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</si>
  <si>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</si>
  <si>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</si>
  <si>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</si>
  <si>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</si>
  <si>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</si>
  <si>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</si>
  <si>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</si>
  <si>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</si>
  <si>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</si>
  <si>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</si>
  <si>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</si>
  <si>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</si>
  <si>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</si>
  <si>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</si>
  <si>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</si>
  <si>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</si>
  <si>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</si>
  <si>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</si>
  <si>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</si>
  <si>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</si>
  <si>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</si>
  <si>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</si>
  <si>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</si>
  <si>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</si>
  <si>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</si>
  <si>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</si>
  <si>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</si>
  <si>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</si>
  <si>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</si>
  <si>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</si>
  <si>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</si>
  <si>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</si>
  <si>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</si>
  <si>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</si>
  <si>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</si>
  <si>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</si>
  <si>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</si>
  <si>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</si>
  <si>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</si>
  <si>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</si>
  <si>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</si>
  <si>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</si>
  <si>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</si>
  <si>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</si>
  <si>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</si>
  <si>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</si>
  <si>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</si>
  <si>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</si>
  <si>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</si>
  <si>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</si>
  <si>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</si>
  <si>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</si>
  <si>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</si>
  <si>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</si>
  <si>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</si>
  <si>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</si>
  <si>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</si>
  <si>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</si>
  <si>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</si>
  <si>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</si>
  <si>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</si>
  <si>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</si>
  <si>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</si>
  <si>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</si>
  <si>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</si>
  <si>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</si>
  <si>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</si>
  <si>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</si>
  <si>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</si>
  <si>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</si>
  <si>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</si>
  <si>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</si>
  <si>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</si>
  <si>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</si>
  <si>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</si>
  <si>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</si>
  <si>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</si>
  <si>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</si>
  <si>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</si>
  <si>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</si>
  <si>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</si>
  <si>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</si>
  <si>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</si>
  <si>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</si>
  <si>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</si>
  <si>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</si>
  <si>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</si>
  <si>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</si>
  <si>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</si>
  <si>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</si>
  <si>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</si>
  <si>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</si>
  <si>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</si>
  <si>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</si>
  <si>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</si>
  <si>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</si>
  <si>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</si>
  <si>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</si>
  <si>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</si>
  <si>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</si>
  <si>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</si>
  <si>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</si>
  <si>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</si>
  <si>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</si>
  <si>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</si>
  <si>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</si>
  <si>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</si>
  <si>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</si>
  <si>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</si>
  <si>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</si>
  <si>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</si>
  <si>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</si>
  <si>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</si>
  <si>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</si>
  <si>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</si>
  <si>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</si>
  <si>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</si>
  <si>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</si>
  <si>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</si>
  <si>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</si>
  <si>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</si>
  <si>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</si>
  <si>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</si>
  <si>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</si>
  <si>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</si>
  <si>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</si>
  <si>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</si>
  <si>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</si>
  <si>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</si>
  <si>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</si>
  <si>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</si>
  <si>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</si>
  <si>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</si>
  <si>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</si>
  <si>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</si>
  <si>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</si>
  <si>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</si>
  <si>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</si>
  <si>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</si>
  <si>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</si>
  <si>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</si>
  <si>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</si>
  <si>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</si>
  <si>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</si>
  <si>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</si>
  <si>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</si>
  <si>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</si>
  <si>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</si>
  <si>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</si>
  <si>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</si>
  <si>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</si>
  <si>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</si>
  <si>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</si>
  <si>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</si>
  <si>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</si>
  <si>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</si>
  <si>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</si>
  <si>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</si>
  <si>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</si>
  <si>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</si>
  <si>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</si>
  <si>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</si>
  <si>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</si>
  <si>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</si>
  <si>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</si>
  <si>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</si>
  <si>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</si>
  <si>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</si>
  <si>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</si>
  <si>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</si>
  <si>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</si>
  <si>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</si>
  <si>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</si>
  <si>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</si>
  <si>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</si>
  <si>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</si>
  <si>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</si>
  <si>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</si>
  <si>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</si>
  <si>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</si>
  <si>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</si>
  <si>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</si>
  <si>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</si>
  <si>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</si>
  <si>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</si>
  <si>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</si>
  <si>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</si>
  <si>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</si>
  <si>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</si>
  <si>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</si>
  <si>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</si>
  <si>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</si>
  <si>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</si>
  <si>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</si>
  <si>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</si>
  <si>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</si>
  <si>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</si>
  <si>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</si>
  <si>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</si>
  <si>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</si>
  <si>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</si>
  <si>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</si>
  <si>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</si>
  <si>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</si>
  <si>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</si>
  <si>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</si>
  <si>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</si>
  <si>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</si>
  <si>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</si>
  <si>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</si>
  <si>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</si>
  <si>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</si>
  <si>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</si>
  <si>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</si>
  <si>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</si>
  <si>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</si>
  <si>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</si>
  <si>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</si>
  <si>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</si>
  <si>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</si>
  <si>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</si>
  <si>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</si>
  <si>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</si>
  <si>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</si>
  <si>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</si>
  <si>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</si>
  <si>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</si>
  <si>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</si>
  <si>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</si>
  <si>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</si>
  <si>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</si>
  <si>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</si>
  <si>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</si>
  <si>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</si>
  <si>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</si>
  <si>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</si>
  <si>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</si>
  <si>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</si>
  <si>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</si>
  <si>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</si>
  <si>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</si>
  <si>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</si>
  <si>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</si>
  <si>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</si>
  <si>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</si>
  <si>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</si>
  <si>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</si>
  <si>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</si>
  <si>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</si>
  <si>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</si>
  <si>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</si>
  <si>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</si>
  <si>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</si>
  <si>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</si>
  <si>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</si>
  <si>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</si>
  <si>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</si>
  <si>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</si>
  <si>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</si>
  <si>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</si>
  <si>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</si>
  <si>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</si>
  <si>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</si>
  <si>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</si>
  <si>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</si>
  <si>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</si>
  <si>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</si>
  <si>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</si>
  <si>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</si>
  <si>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</si>
  <si>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</si>
  <si>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</si>
  <si>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</si>
  <si>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</si>
  <si>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</si>
  <si>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</si>
  <si>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</si>
  <si>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</si>
  <si>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</si>
  <si>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</si>
  <si>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</si>
  <si>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</si>
  <si>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</si>
  <si>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</si>
  <si>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</si>
  <si>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</si>
  <si>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</si>
  <si>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</si>
  <si>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</si>
  <si>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</si>
  <si>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</si>
  <si>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</si>
  <si>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</si>
  <si>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</si>
  <si>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</si>
  <si>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</si>
  <si>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</si>
  <si>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</si>
  <si>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</si>
  <si>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</si>
  <si>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</si>
  <si>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</si>
  <si>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</si>
  <si>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</si>
  <si>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</si>
  <si>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</si>
  <si>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</si>
  <si>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</si>
  <si>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</si>
  <si>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</si>
  <si>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</si>
  <si>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</si>
  <si>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</si>
  <si>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</si>
  <si>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</si>
  <si>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</si>
  <si>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</si>
  <si>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</si>
  <si>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</si>
  <si>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</si>
  <si>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</si>
  <si>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</si>
  <si>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</si>
  <si>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</si>
  <si>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</si>
  <si>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</si>
  <si>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</si>
  <si>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</si>
  <si>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</si>
  <si>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</si>
  <si>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</si>
  <si>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</si>
  <si>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</si>
  <si>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</si>
  <si>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</si>
  <si>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</si>
  <si>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</si>
  <si>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</si>
  <si>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</si>
  <si>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</si>
  <si>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</si>
  <si>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</si>
  <si>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</si>
  <si>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</si>
  <si>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</si>
  <si>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</si>
  <si>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</si>
  <si>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</si>
  <si>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</si>
  <si>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</si>
  <si>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</si>
  <si>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</si>
  <si>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</si>
  <si>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</si>
  <si>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</si>
  <si>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</si>
  <si>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</si>
  <si>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</si>
  <si>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</si>
  <si>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</si>
  <si>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</si>
  <si>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</si>
  <si>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</si>
  <si>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</si>
  <si>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</si>
  <si>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</si>
  <si>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</si>
  <si>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</si>
  <si>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</si>
  <si>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</si>
  <si>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</si>
  <si>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</si>
  <si>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</si>
  <si>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</si>
  <si>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</si>
  <si>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</si>
  <si>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</si>
  <si>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</si>
  <si>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</si>
  <si>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</si>
  <si>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</si>
  <si>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</si>
  <si>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</si>
  <si>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</si>
  <si>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</si>
  <si>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</si>
  <si>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</si>
  <si>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</si>
  <si>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</si>
  <si>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</si>
  <si>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</si>
  <si>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</si>
  <si>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</si>
  <si>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</si>
  <si>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</si>
  <si>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</si>
  <si>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</si>
  <si>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</si>
  <si>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</si>
  <si>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</si>
  <si>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</si>
  <si>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</si>
  <si>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</si>
  <si>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</si>
  <si>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</si>
  <si>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</si>
  <si>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</si>
  <si>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</si>
  <si>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</si>
  <si>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</si>
  <si>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</si>
  <si>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</si>
  <si>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</si>
  <si>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</si>
  <si>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</si>
  <si>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</si>
  <si>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</si>
  <si>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</si>
  <si>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</si>
  <si>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</si>
  <si>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</si>
  <si>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</si>
  <si>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</si>
  <si>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</si>
  <si>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</si>
  <si>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</si>
  <si>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</si>
  <si>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</si>
  <si>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</si>
  <si>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</si>
  <si>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</si>
  <si>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</si>
  <si>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</si>
  <si>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</si>
  <si>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</si>
  <si>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</si>
  <si>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</si>
  <si>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</si>
  <si>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</si>
  <si>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</si>
  <si>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</si>
  <si>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</si>
  <si>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</si>
  <si>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</si>
  <si>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</si>
  <si>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</si>
  <si>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</si>
  <si>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</si>
  <si>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</si>
  <si>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</si>
  <si>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</si>
  <si>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</si>
  <si>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</si>
  <si>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</si>
  <si>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</si>
  <si>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</si>
  <si>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</si>
  <si>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</si>
  <si>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</si>
  <si>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</si>
  <si>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</si>
  <si>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</si>
  <si>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</si>
  <si>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</si>
  <si>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</si>
  <si>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</si>
  <si>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</si>
  <si>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</si>
  <si>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</si>
  <si>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</si>
  <si>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</si>
  <si>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</si>
  <si>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</si>
  <si>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</si>
  <si>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</si>
  <si>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</si>
  <si>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</si>
  <si>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</si>
  <si>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</si>
  <si>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</si>
  <si>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</si>
  <si>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</si>
  <si>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</si>
  <si>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</si>
  <si>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</si>
  <si>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</si>
  <si>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</si>
  <si>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</si>
  <si>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</si>
  <si>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</si>
  <si>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</si>
  <si>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</si>
  <si>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</si>
  <si>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</si>
  <si>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</si>
  <si>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</si>
  <si>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</si>
  <si>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</si>
  <si>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</si>
  <si>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</si>
  <si>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</si>
  <si>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</si>
  <si>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</si>
  <si>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</si>
  <si>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</si>
  <si>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</si>
  <si>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</si>
  <si>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</si>
  <si>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</si>
  <si>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</si>
  <si>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</si>
  <si>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</si>
  <si>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</si>
  <si>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</si>
  <si>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</si>
  <si>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</si>
  <si>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</si>
  <si>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</si>
  <si>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</si>
  <si>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</si>
  <si>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</si>
  <si>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</si>
  <si>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</si>
  <si>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</si>
  <si>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</si>
  <si>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</si>
  <si>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</si>
  <si>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</si>
  <si>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</si>
  <si>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</si>
  <si>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</si>
  <si>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</si>
  <si>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</si>
  <si>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</si>
  <si>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</si>
  <si>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</si>
  <si>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</si>
  <si>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</si>
  <si>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</si>
  <si>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</si>
  <si>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</si>
  <si>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</si>
  <si>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</si>
  <si>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</si>
  <si>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</si>
  <si>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</si>
  <si>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</si>
  <si>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</si>
  <si>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</si>
  <si>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</si>
  <si>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</si>
  <si>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</si>
  <si>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</si>
  <si>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</si>
  <si>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</si>
  <si>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</si>
  <si>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</si>
  <si>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</si>
  <si>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</si>
  <si>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</si>
  <si>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</si>
  <si>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</si>
  <si>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</si>
  <si>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</si>
  <si>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</si>
  <si>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</si>
  <si>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</si>
  <si>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</si>
  <si>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</si>
  <si>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</si>
  <si>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</si>
  <si>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</si>
  <si>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</si>
  <si>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</si>
  <si>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</si>
  <si>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</si>
  <si>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</si>
  <si>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</si>
  <si>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</si>
  <si>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</si>
  <si>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</si>
  <si>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</si>
  <si>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</si>
  <si>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</si>
  <si>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</si>
  <si>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</si>
  <si>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</si>
  <si>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</si>
  <si>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</si>
  <si>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</si>
  <si>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</si>
  <si>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</si>
  <si>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</si>
  <si>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</si>
  <si>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</si>
  <si>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</si>
  <si>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</si>
  <si>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</si>
  <si>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</si>
  <si>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</si>
  <si>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</si>
  <si>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</si>
  <si>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</si>
  <si>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</si>
  <si>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</si>
  <si>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</si>
  <si>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</si>
  <si>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</si>
  <si>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</si>
  <si>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</si>
  <si>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</si>
  <si>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</si>
  <si>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</si>
  <si>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</si>
  <si>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</si>
  <si>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</si>
  <si>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</si>
  <si>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</si>
  <si>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</si>
  <si>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</si>
  <si>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</si>
  <si>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</si>
  <si>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</si>
  <si>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</si>
  <si>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</si>
  <si>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</si>
  <si>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</si>
  <si>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</si>
  <si>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</si>
  <si>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</si>
  <si>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</si>
  <si>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</si>
  <si>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</si>
  <si>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</si>
  <si>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</si>
  <si>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</si>
  <si>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</si>
  <si>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</si>
  <si>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</si>
  <si>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</si>
  <si>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</si>
  <si>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</si>
  <si>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</si>
  <si>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</si>
  <si>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</si>
  <si>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</si>
  <si>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</si>
  <si>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</si>
  <si>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</si>
  <si>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</si>
  <si>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</si>
  <si>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</si>
  <si>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</si>
  <si>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</si>
  <si>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</si>
  <si>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</si>
  <si>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</si>
  <si>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</si>
  <si>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</si>
  <si>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</si>
  <si>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</si>
  <si>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</si>
  <si>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</si>
  <si>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</si>
  <si>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</si>
  <si>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</si>
  <si>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</si>
  <si>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</si>
  <si>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</si>
  <si>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</si>
  <si>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</si>
  <si>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</si>
  <si>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</si>
  <si>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</si>
  <si>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</si>
  <si>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</si>
  <si>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</si>
  <si>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</si>
  <si>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</si>
  <si>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</si>
  <si>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</si>
  <si>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</si>
  <si>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</si>
  <si>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</si>
  <si>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</si>
  <si>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</si>
  <si>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</si>
  <si>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</si>
  <si>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</si>
  <si>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</si>
  <si>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</si>
  <si>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</si>
  <si>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</si>
  <si>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</si>
  <si>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</si>
  <si>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</si>
  <si>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</si>
  <si>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</si>
  <si>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</si>
  <si>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</si>
  <si>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</si>
  <si>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</si>
  <si>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</si>
  <si>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</si>
  <si>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</si>
  <si>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</si>
  <si>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</si>
  <si>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</si>
  <si>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</si>
  <si>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</si>
  <si>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</si>
  <si>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</si>
  <si>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</si>
  <si>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</si>
  <si>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</si>
  <si>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</si>
  <si>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</si>
  <si>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</si>
  <si>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</si>
  <si>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</si>
  <si>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</si>
  <si>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</si>
  <si>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</si>
  <si>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</si>
  <si>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</si>
  <si>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</si>
  <si>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</si>
  <si>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</si>
  <si>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</si>
  <si>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</si>
  <si>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</si>
  <si>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</si>
  <si>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</si>
  <si>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</si>
  <si>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</si>
  <si>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</si>
  <si>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</si>
  <si>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</si>
  <si>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</si>
  <si>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</si>
  <si>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</si>
  <si>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</si>
  <si>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</si>
  <si>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</si>
  <si>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</si>
  <si>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</si>
  <si>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</si>
  <si>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</si>
  <si>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</si>
  <si>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</si>
  <si>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</si>
  <si>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</si>
  <si>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</si>
  <si>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</si>
  <si>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</si>
  <si>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</si>
  <si>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</si>
  <si>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</si>
  <si>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</si>
  <si>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</si>
  <si>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</si>
  <si>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</si>
  <si>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</si>
  <si>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</si>
  <si>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</si>
  <si>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</si>
  <si>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</si>
  <si>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</si>
  <si>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</si>
  <si>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</si>
  <si>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</si>
  <si>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</si>
  <si>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</si>
  <si>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</si>
  <si>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</si>
  <si>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</si>
  <si>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</si>
  <si>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</si>
  <si>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</si>
  <si>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</si>
  <si>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</si>
  <si>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</si>
  <si>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</si>
  <si>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</si>
  <si>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</si>
  <si>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</si>
  <si>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</si>
  <si>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</si>
  <si>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</si>
  <si>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</si>
  <si>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</si>
  <si>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</si>
  <si>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</si>
  <si>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</si>
  <si>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</si>
  <si>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</si>
  <si>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</si>
  <si>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</si>
  <si>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</si>
  <si>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</si>
  <si>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</si>
  <si>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</si>
  <si>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</si>
  <si>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</si>
  <si>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</si>
  <si>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</si>
  <si>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</si>
  <si>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</si>
  <si>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</si>
  <si>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</si>
  <si>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</si>
  <si>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</si>
  <si>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</si>
  <si>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</si>
  <si>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</si>
  <si>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</si>
  <si>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</si>
  <si>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</si>
  <si>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</si>
  <si>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</si>
  <si>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</si>
  <si>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</si>
  <si>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</si>
  <si>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</si>
  <si>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</si>
  <si>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</si>
  <si>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</si>
  <si>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</si>
  <si>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</si>
  <si>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</si>
  <si>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</si>
  <si>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</si>
  <si>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</si>
  <si>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</si>
  <si>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</si>
  <si>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</si>
  <si>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</si>
  <si>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</si>
  <si>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</si>
  <si>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</si>
  <si>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</si>
  <si>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</si>
  <si>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</si>
  <si>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</si>
  <si>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</si>
  <si>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</si>
  <si>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</si>
  <si>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</si>
  <si>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</si>
  <si>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</si>
  <si>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</si>
  <si>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</si>
  <si>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</si>
  <si>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</si>
  <si>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</si>
  <si>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</si>
  <si>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</si>
  <si>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</si>
  <si>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</si>
  <si>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</si>
  <si>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</si>
  <si>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</si>
  <si>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</si>
  <si>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</si>
  <si>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</si>
  <si>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</si>
  <si>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</si>
  <si>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</si>
  <si>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</si>
  <si>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</si>
  <si>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</si>
  <si>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</si>
  <si>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</si>
  <si>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</si>
  <si>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</si>
  <si>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</si>
  <si>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</si>
  <si>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</si>
  <si>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</si>
  <si>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</si>
  <si>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</si>
  <si>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</si>
  <si>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</si>
  <si>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</si>
  <si>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</si>
  <si>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</si>
  <si>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</si>
  <si>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</si>
  <si>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</si>
  <si>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</si>
  <si>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</si>
  <si>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</si>
  <si>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</si>
  <si>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</si>
  <si>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</si>
  <si>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</si>
  <si>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</si>
  <si>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</si>
  <si>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</si>
  <si>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</si>
  <si>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</si>
  <si>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</si>
  <si>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</si>
  <si>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</si>
  <si>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</si>
  <si>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</si>
  <si>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</si>
  <si>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</si>
  <si>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</si>
  <si>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</si>
  <si>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</si>
  <si>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</si>
  <si>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</si>
  <si>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</si>
  <si>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</si>
  <si>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</si>
  <si>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</si>
  <si>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</si>
  <si>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</si>
  <si>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</si>
  <si>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</si>
  <si>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</si>
  <si>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</si>
  <si>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</si>
  <si>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</si>
  <si>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</si>
  <si>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</si>
  <si>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</si>
  <si>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</si>
  <si>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</si>
  <si>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</si>
  <si>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</si>
  <si>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</si>
  <si>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</si>
  <si>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</si>
  <si>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</si>
  <si>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</si>
  <si>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</si>
  <si>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</si>
  <si>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</si>
  <si>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</si>
  <si>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</si>
  <si>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</si>
  <si>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</si>
  <si>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</si>
  <si>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</si>
  <si>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</si>
  <si>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</si>
  <si>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</si>
  <si>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</si>
  <si>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</si>
  <si>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</si>
  <si>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</si>
  <si>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</si>
  <si>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</si>
  <si>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</si>
  <si>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</si>
  <si>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</si>
  <si>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</si>
  <si>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</si>
  <si>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</si>
  <si>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</si>
  <si>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</si>
  <si>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</si>
  <si>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</si>
  <si>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</si>
  <si>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</si>
  <si>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</si>
  <si>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</si>
  <si>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</si>
  <si>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</si>
  <si>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</si>
  <si>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</si>
  <si>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</si>
  <si>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</si>
  <si>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</si>
  <si>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</si>
  <si>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</si>
  <si>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</si>
  <si>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</si>
  <si>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</si>
  <si>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</si>
  <si>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</si>
  <si>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</si>
  <si>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</si>
  <si>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</si>
  <si>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</si>
  <si>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</si>
  <si>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</si>
  <si>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</si>
  <si>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</si>
  <si>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</si>
  <si>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</si>
  <si>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</si>
  <si>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</si>
  <si>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</si>
  <si>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</si>
  <si>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</si>
  <si>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</si>
  <si>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</si>
  <si>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</si>
  <si>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</si>
  <si>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</si>
  <si>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</si>
  <si>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</si>
  <si>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</si>
  <si>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</si>
  <si>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</si>
  <si>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</si>
  <si>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</si>
  <si>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</si>
  <si>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</si>
  <si>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</si>
  <si>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</si>
  <si>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</si>
  <si>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</si>
  <si>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</si>
  <si>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</si>
  <si>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</si>
  <si>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</si>
  <si>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</si>
  <si>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</si>
  <si>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</si>
  <si>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</si>
  <si>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</si>
  <si>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</si>
  <si>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</si>
  <si>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</si>
  <si>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</si>
  <si>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</si>
  <si>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</si>
  <si>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</si>
  <si>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</si>
  <si>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</si>
  <si>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</si>
  <si>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</si>
  <si>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</si>
  <si>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</si>
  <si>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</si>
  <si>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</si>
  <si>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</si>
  <si>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</si>
  <si>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</si>
  <si>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</si>
  <si>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</si>
  <si>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</si>
  <si>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</si>
  <si>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</si>
  <si>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</si>
  <si>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</si>
  <si>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</si>
  <si>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</si>
  <si>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</si>
  <si>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</si>
  <si>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</si>
  <si>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</si>
  <si>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</si>
  <si>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</si>
  <si>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</si>
  <si>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</si>
  <si>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</si>
  <si>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</si>
  <si>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</si>
  <si>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</si>
  <si>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</si>
  <si>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</si>
  <si>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</si>
  <si>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</si>
  <si>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</si>
  <si>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</si>
  <si>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</si>
  <si>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</si>
  <si>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</si>
  <si>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</si>
  <si>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</si>
  <si>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</si>
  <si>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</si>
  <si>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</si>
  <si>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</si>
  <si>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</si>
  <si>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</si>
  <si>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</si>
  <si>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</si>
  <si>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</si>
  <si>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</si>
  <si>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</si>
  <si>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</si>
  <si>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</si>
  <si>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</si>
  <si>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</si>
  <si>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</si>
  <si>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</si>
  <si>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</si>
  <si>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</si>
  <si>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</si>
  <si>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</si>
  <si>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</si>
  <si>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</si>
  <si>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</si>
  <si>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</si>
  <si>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</si>
  <si>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</si>
  <si>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</si>
  <si>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</si>
  <si>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</si>
  <si>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</si>
  <si>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</si>
  <si>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</si>
  <si>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</si>
  <si>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</si>
  <si>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</si>
  <si>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</si>
  <si>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</si>
  <si>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</si>
  <si>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</si>
  <si>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</si>
  <si>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</si>
  <si>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</si>
  <si>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</si>
  <si>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</si>
  <si>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</si>
  <si>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</si>
  <si>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</si>
  <si>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</si>
  <si>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</si>
  <si>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</si>
  <si>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</si>
  <si>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</si>
  <si>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</si>
  <si>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</si>
  <si>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</si>
  <si>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</si>
  <si>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</si>
  <si>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</si>
  <si>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</si>
  <si>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</si>
  <si>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</si>
  <si>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</si>
  <si>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</si>
  <si>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</si>
  <si>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</si>
  <si>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</si>
  <si>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</si>
  <si>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</si>
  <si>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</si>
  <si>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</si>
  <si>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</si>
  <si>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</si>
  <si>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</si>
  <si>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</si>
  <si>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</si>
  <si>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</si>
  <si>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</si>
  <si>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</si>
  <si>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</si>
  <si>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</si>
  <si>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</si>
  <si>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</si>
  <si>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</si>
  <si>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</si>
  <si>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</si>
  <si>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</si>
  <si>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</si>
  <si>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</si>
  <si>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</si>
  <si>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</si>
  <si>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</si>
  <si>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</si>
  <si>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</si>
  <si>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</si>
  <si>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</si>
  <si>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</si>
  <si>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</si>
  <si>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</si>
  <si>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</si>
  <si>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</si>
  <si>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</si>
  <si>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</si>
  <si>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</si>
  <si>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</si>
  <si>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</si>
  <si>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</si>
  <si>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</si>
  <si>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</si>
  <si>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</si>
  <si>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</si>
  <si>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</si>
  <si>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</si>
  <si>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</si>
  <si>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</si>
  <si>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</si>
  <si>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</si>
  <si>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</si>
  <si>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</si>
  <si>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</si>
  <si>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</si>
  <si>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</si>
  <si>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</si>
  <si>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</si>
  <si>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</si>
  <si>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</si>
  <si>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</si>
  <si>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</si>
  <si>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</si>
  <si>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</si>
  <si>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</si>
  <si>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</si>
  <si>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</si>
  <si>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</si>
  <si>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</si>
  <si>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</si>
  <si>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</si>
  <si>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</si>
  <si>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</si>
  <si>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</si>
  <si>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</si>
  <si>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</si>
  <si>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</si>
  <si>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</si>
  <si>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</si>
  <si>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</si>
  <si>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</si>
  <si>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</si>
  <si>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</si>
  <si>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</si>
  <si>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</si>
  <si>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</si>
  <si>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</si>
  <si>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</si>
  <si>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</si>
  <si>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</si>
  <si>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</si>
  <si>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</si>
  <si>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</si>
  <si>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</si>
  <si>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</si>
  <si>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</si>
  <si>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</si>
  <si>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</si>
  <si>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</si>
  <si>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</si>
  <si>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</si>
  <si>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</si>
  <si>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</si>
  <si>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</si>
  <si>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</si>
  <si>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</si>
  <si>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</si>
  <si>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</si>
  <si>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</si>
  <si>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</si>
  <si>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</si>
  <si>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</si>
  <si>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</si>
  <si>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</si>
  <si>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</si>
  <si>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</si>
  <si>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</si>
  <si>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</si>
  <si>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</si>
  <si>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</si>
  <si>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</si>
  <si>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</si>
  <si>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</si>
  <si>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</si>
  <si>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</si>
  <si>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</si>
  <si>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</si>
  <si>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</si>
  <si>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</si>
  <si>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</si>
  <si>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</si>
  <si>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</si>
  <si>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</si>
  <si>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</si>
  <si>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</si>
  <si>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</si>
  <si>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</si>
  <si>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</si>
  <si>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</si>
  <si>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</si>
  <si>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</si>
  <si>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</si>
  <si>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</si>
  <si>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</si>
  <si>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</si>
  <si>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</si>
  <si>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</si>
  <si>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</si>
  <si>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</si>
  <si>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</si>
  <si>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</si>
  <si>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</si>
  <si>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</si>
  <si>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</si>
  <si>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</si>
  <si>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</si>
  <si>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</si>
  <si>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</si>
  <si>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</si>
  <si>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</si>
  <si>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</si>
  <si>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</si>
  <si>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</si>
  <si>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</si>
  <si>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</si>
  <si>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</si>
  <si>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</si>
  <si>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</si>
  <si>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</si>
  <si>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</si>
  <si>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</si>
  <si>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</si>
  <si>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</si>
  <si>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</si>
  <si>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</si>
  <si>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</si>
  <si>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</si>
  <si>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</si>
  <si>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</si>
  <si>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</si>
  <si>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</si>
  <si>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</si>
  <si>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</si>
  <si>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</si>
  <si>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</si>
  <si>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</si>
  <si>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</si>
  <si>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</si>
  <si>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</si>
  <si>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</si>
  <si>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</si>
  <si>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</si>
  <si>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</si>
  <si>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</si>
  <si>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</si>
  <si>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</si>
  <si>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</si>
  <si>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</si>
  <si>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</si>
  <si>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</si>
  <si>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</si>
  <si>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</si>
  <si>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</si>
  <si>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</si>
  <si>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</si>
  <si>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</si>
  <si>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</si>
  <si>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</si>
  <si>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</si>
  <si>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</si>
  <si>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</si>
  <si>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</si>
  <si>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</si>
  <si>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</si>
  <si>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</si>
  <si>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</si>
  <si>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</si>
  <si>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</si>
  <si>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</si>
  <si>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</si>
  <si>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</si>
  <si>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</si>
  <si>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</si>
  <si>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</si>
  <si>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</si>
  <si>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</si>
  <si>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</si>
  <si>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</si>
  <si>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</si>
  <si>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</si>
  <si>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</si>
  <si>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</si>
  <si>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</si>
  <si>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</si>
  <si>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</si>
  <si>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</si>
  <si>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</si>
  <si>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</si>
  <si>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</si>
  <si>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</si>
  <si>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</si>
  <si>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</si>
  <si>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</si>
  <si>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</si>
  <si>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</si>
  <si>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</si>
  <si>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</si>
  <si>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</si>
  <si>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</si>
  <si>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</si>
  <si>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</si>
  <si>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</si>
  <si>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</si>
  <si>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</si>
  <si>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</si>
  <si>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</si>
  <si>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</si>
  <si>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</si>
  <si>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</si>
  <si>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</si>
  <si>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</si>
  <si>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</si>
  <si>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</si>
  <si>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</si>
  <si>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</si>
  <si>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</si>
  <si>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</si>
  <si>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</si>
  <si>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</si>
  <si>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</si>
  <si>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</si>
  <si>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</si>
  <si>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</si>
  <si>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</si>
  <si>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</si>
  <si>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</si>
  <si>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</si>
  <si>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</si>
  <si>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</si>
  <si>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</si>
  <si>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</si>
  <si>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</si>
  <si>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</si>
  <si>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</si>
  <si>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</si>
  <si>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</si>
  <si>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</si>
  <si>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</si>
  <si>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</si>
  <si>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</si>
  <si>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</si>
  <si>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</si>
  <si>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</si>
  <si>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</si>
  <si>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</si>
  <si>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</si>
  <si>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</si>
  <si>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</si>
  <si>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</si>
  <si>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</si>
  <si>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</si>
  <si>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</si>
  <si>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</si>
  <si>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</si>
  <si>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</si>
  <si>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</si>
  <si>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</si>
  <si>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</si>
  <si>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</si>
  <si>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</si>
  <si>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</si>
  <si>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</si>
  <si>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</si>
  <si>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</si>
  <si>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</si>
  <si>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</si>
  <si>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</si>
  <si>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</si>
  <si>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</si>
  <si>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</si>
  <si>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</si>
  <si>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</si>
  <si>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</si>
  <si>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</si>
  <si>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</si>
  <si>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</si>
  <si>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</si>
  <si>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</si>
  <si>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</si>
  <si>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</si>
  <si>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</si>
  <si>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</si>
  <si>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</si>
  <si>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</si>
  <si>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</si>
  <si>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</si>
  <si>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</si>
  <si>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</si>
  <si>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</si>
  <si>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</si>
  <si>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</si>
  <si>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</si>
  <si>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</si>
  <si>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</si>
  <si>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</si>
  <si>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</si>
  <si>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崔锴</t>
  </si>
  <si>
    <t>抵押</t>
  </si>
  <si>
    <t>房地产抵押价值</t>
  </si>
  <si>
    <t>企业</t>
  </si>
  <si>
    <t>地上</t>
  </si>
  <si>
    <t>地下</t>
  </si>
  <si>
    <t>综合平均</t>
  </si>
  <si>
    <t>成新度</t>
  </si>
  <si>
    <t>钢混</t>
  </si>
  <si>
    <t>是</t>
  </si>
  <si>
    <t>收益法</t>
  </si>
  <si>
    <t>自定义容积率</t>
  </si>
  <si>
    <t>不临65条商业街</t>
  </si>
  <si>
    <t>与级别开发程度不一致</t>
  </si>
  <si>
    <t>通路</t>
  </si>
  <si>
    <t>通电</t>
  </si>
  <si>
    <t>通讯</t>
  </si>
  <si>
    <t>通上水</t>
  </si>
  <si>
    <t>通下水</t>
  </si>
  <si>
    <t>燃气</t>
  </si>
  <si>
    <t>平整</t>
  </si>
  <si>
    <t>押一</t>
  </si>
  <si>
    <t>非生产用房</t>
  </si>
  <si>
    <t>否</t>
  </si>
  <si>
    <t>成本法</t>
  </si>
  <si>
    <t>收益法（汇总）</t>
  </si>
  <si>
    <t>成本比率</t>
  </si>
  <si>
    <t>总价</t>
  </si>
  <si>
    <t>北京经济技术开发区荣华中路19号1号楼</t>
    <phoneticPr fontId="3" type="noConversion"/>
  </si>
  <si>
    <t>北京朝林实业有限公司</t>
    <phoneticPr fontId="3" type="noConversion"/>
  </si>
  <si>
    <t>Ⅵ-亦1</t>
  </si>
  <si>
    <t>建面</t>
    <phoneticPr fontId="134" type="noConversion"/>
  </si>
  <si>
    <t>分摊土地</t>
    <phoneticPr fontId="134" type="noConversion"/>
  </si>
  <si>
    <t>土地</t>
    <phoneticPr fontId="134" type="noConversion"/>
  </si>
  <si>
    <t>容积率</t>
    <phoneticPr fontId="134" type="noConversion"/>
  </si>
  <si>
    <t>人防</t>
    <phoneticPr fontId="134" type="noConversion"/>
  </si>
  <si>
    <t>不含人防</t>
    <phoneticPr fontId="134" type="noConversion"/>
  </si>
  <si>
    <t>套内</t>
    <phoneticPr fontId="134" type="noConversion"/>
  </si>
  <si>
    <r>
      <t>-</t>
    </r>
    <r>
      <rPr>
        <sz val="11"/>
        <color theme="1"/>
        <rFont val="宋体"/>
        <family val="3"/>
        <charset val="134"/>
        <scheme val="minor"/>
      </rPr>
      <t>3</t>
    </r>
    <phoneticPr fontId="134" type="noConversion"/>
  </si>
  <si>
    <r>
      <t>-</t>
    </r>
    <r>
      <rPr>
        <sz val="11"/>
        <color theme="1"/>
        <rFont val="宋体"/>
        <family val="3"/>
        <charset val="134"/>
        <scheme val="minor"/>
      </rPr>
      <t>2</t>
    </r>
    <phoneticPr fontId="134" type="noConversion"/>
  </si>
  <si>
    <r>
      <t>-</t>
    </r>
    <r>
      <rPr>
        <sz val="11"/>
        <color theme="1"/>
        <rFont val="宋体"/>
        <family val="3"/>
        <charset val="134"/>
        <scheme val="minor"/>
      </rPr>
      <t>1</t>
    </r>
    <phoneticPr fontId="134" type="noConversion"/>
  </si>
  <si>
    <t>1</t>
    <phoneticPr fontId="134" type="noConversion"/>
  </si>
  <si>
    <t>2</t>
    <phoneticPr fontId="134" type="noConversion"/>
  </si>
  <si>
    <t>3</t>
    <phoneticPr fontId="134" type="noConversion"/>
  </si>
  <si>
    <t>4</t>
  </si>
  <si>
    <t>5</t>
  </si>
  <si>
    <t>6</t>
  </si>
  <si>
    <t>7</t>
  </si>
  <si>
    <t>8</t>
  </si>
  <si>
    <t>9</t>
  </si>
  <si>
    <t>10</t>
  </si>
  <si>
    <t>11</t>
  </si>
  <si>
    <t>12</t>
  </si>
  <si>
    <t>13</t>
  </si>
  <si>
    <t>14</t>
  </si>
  <si>
    <t>15</t>
  </si>
  <si>
    <t>16</t>
  </si>
  <si>
    <t>17</t>
  </si>
  <si>
    <t>18</t>
  </si>
  <si>
    <t>19</t>
  </si>
  <si>
    <t>20</t>
  </si>
  <si>
    <t>21</t>
  </si>
  <si>
    <t>22</t>
  </si>
  <si>
    <t>23</t>
  </si>
  <si>
    <t>24</t>
  </si>
  <si>
    <t>25</t>
  </si>
  <si>
    <t>附属</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</si>
  <si>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</si>
  <si>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</si>
  <si>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</si>
  <si>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</si>
  <si>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</si>
  <si>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</si>
  <si>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</si>
  <si>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</si>
  <si>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</si>
  <si>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</si>
  <si>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</si>
  <si>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</si>
  <si>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</si>
  <si>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</si>
  <si>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</si>
  <si>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</si>
  <si>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</si>
  <si>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B座</t>
    <phoneticPr fontId="3" type="noConversion"/>
  </si>
  <si>
    <t>楼层</t>
    <phoneticPr fontId="3" type="noConversion"/>
  </si>
  <si>
    <t>系数</t>
    <phoneticPr fontId="3" type="noConversion"/>
  </si>
  <si>
    <t>租金</t>
    <phoneticPr fontId="3" type="noConversion"/>
  </si>
  <si>
    <t>办公</t>
    <phoneticPr fontId="7" type="noConversion"/>
  </si>
  <si>
    <t>较好</t>
    <phoneticPr fontId="3" type="noConversion"/>
  </si>
  <si>
    <t>较好</t>
  </si>
  <si>
    <t>七通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</si>
  <si>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荣京西街</t>
    </r>
    <phoneticPr fontId="3" type="noConversion"/>
  </si>
  <si>
    <t>国锐金嵿、大族广场、亦城财富中心，较好</t>
    <phoneticPr fontId="3" type="noConversion"/>
  </si>
  <si>
    <t>博大公园、亦庄新城滨河公园，一般</t>
    <phoneticPr fontId="3" type="noConversion"/>
  </si>
  <si>
    <t>商务金融用地</t>
  </si>
  <si>
    <t>中心城区以外</t>
  </si>
  <si>
    <t>容积率修正</t>
  </si>
  <si>
    <t>未包含在土地购买价格中</t>
  </si>
  <si>
    <t>全部缴纳</t>
  </si>
  <si>
    <t>地上</t>
    <phoneticPr fontId="134" type="noConversion"/>
  </si>
  <si>
    <t>地下1</t>
    <phoneticPr fontId="134" type="noConversion"/>
  </si>
  <si>
    <t>地下2-3</t>
    <phoneticPr fontId="134" type="noConversion"/>
  </si>
  <si>
    <t>B</t>
    <phoneticPr fontId="134" type="noConversion"/>
  </si>
  <si>
    <t>A</t>
    <phoneticPr fontId="134" type="noConversion"/>
  </si>
  <si>
    <r>
      <t>B</t>
    </r>
    <r>
      <rPr>
        <sz val="10"/>
        <color indexed="8"/>
        <rFont val="宋体"/>
        <family val="3"/>
        <charset val="134"/>
      </rPr>
      <t>座</t>
    </r>
    <phoneticPr fontId="3" type="noConversion"/>
  </si>
  <si>
    <r>
      <t>A</t>
    </r>
    <r>
      <rPr>
        <sz val="10"/>
        <color indexed="8"/>
        <rFont val="宋体"/>
        <family val="3"/>
        <charset val="134"/>
      </rPr>
      <t>座</t>
    </r>
    <phoneticPr fontId="3" type="noConversion"/>
  </si>
  <si>
    <t>一般</t>
  </si>
  <si>
    <t>好</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</si>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</sst>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183" fontId="47" fillId="0" borderId="1" xfId="19" applyNumberFormat="1" applyFont="1" applyBorder="1" applyAlignment="1" applyProtection="1">
      <alignment horizontal="center" vertical="center" shrinkToFit="1"/>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95" fillId="0" borderId="1" xfId="10" applyBorder="1">
      <alignment vertical="center"/>
    </xf>
    <xf numFmtId="43" fontId="47" fillId="0" borderId="1" xfId="0" applyNumberFormat="1" applyFont="1" applyBorder="1" applyAlignment="1" applyProtection="1">
      <alignment horizontal="center" vertical="center" wrapText="1"/>
      <protection locked="0"/>
    </xf>
    <xf numFmtId="177" fontId="47" fillId="0" borderId="1" xfId="1"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10" applyNumberFormat="1">
      <alignment vertical="center"/>
    </xf>
    <xf numFmtId="179" fontId="47" fillId="0" borderId="1" xfId="10" applyNumberFormat="1" applyFont="1" applyBorder="1" applyAlignment="1" applyProtection="1">
      <alignment horizontal="center" vertical="center" wrapText="1"/>
      <protection locked="0"/>
    </xf>
    <xf numFmtId="0" fontId="95" fillId="22" borderId="0" xfId="10" applyFill="1">
      <alignment vertical="center"/>
    </xf>
    <xf numFmtId="49" fontId="95" fillId="0" borderId="1" xfId="10" applyNumberFormat="1" applyBorder="1">
      <alignment vertical="center"/>
    </xf>
    <xf numFmtId="0" fontId="95" fillId="22" borderId="1" xfId="10" applyFill="1" applyBorder="1">
      <alignment vertical="center"/>
    </xf>
    <xf numFmtId="9" fontId="47" fillId="12" borderId="1" xfId="22" applyFont="1" applyFill="1" applyBorder="1" applyAlignment="1" applyProtection="1">
      <alignment horizontal="left" vertical="center"/>
      <protection locked="0"/>
    </xf>
    <xf numFmtId="181" fontId="47" fillId="12" borderId="1" xfId="22" applyNumberFormat="1" applyFont="1" applyFill="1" applyBorder="1" applyAlignment="1" applyProtection="1">
      <alignment horizontal="left" vertical="center"/>
      <protection locked="0"/>
    </xf>
    <xf numFmtId="176" fontId="77" fillId="12" borderId="1" xfId="10" applyNumberFormat="1" applyFont="1" applyFill="1" applyBorder="1" applyAlignment="1" applyProtection="1">
      <alignment horizontal="left" vertical="center"/>
      <protection locked="0"/>
    </xf>
    <xf numFmtId="1" fontId="47" fillId="12" borderId="1" xfId="10" applyNumberFormat="1" applyFont="1" applyFill="1" applyBorder="1" applyAlignment="1" applyProtection="1">
      <alignment horizontal="left" vertical="center"/>
      <protection locked="0"/>
    </xf>
    <xf numFmtId="9" fontId="95" fillId="0" borderId="0" xfId="10" applyNumberFormat="1">
      <alignment vertical="center"/>
    </xf>
    <xf numFmtId="196" fontId="47" fillId="12" borderId="1" xfId="10" applyNumberFormat="1" applyFont="1" applyFill="1" applyBorder="1" applyAlignment="1" applyProtection="1">
      <alignment horizontal="left" vertical="center"/>
      <protection locked="0"/>
    </xf>
    <xf numFmtId="196" fontId="95" fillId="0" borderId="0" xfId="10" applyNumberFormat="1" applyAlignment="1">
      <alignment horizontal="left" vertical="center"/>
    </xf>
    <xf numFmtId="179" fontId="95" fillId="0" borderId="0" xfId="10" applyNumberFormat="1">
      <alignment vertical="center"/>
    </xf>
    <xf numFmtId="0" fontId="53" fillId="0" borderId="49" xfId="1" applyFont="1" applyBorder="1" applyAlignment="1" applyProtection="1">
      <alignment horizontal="center"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44" fillId="7" borderId="23" xfId="0" applyNumberFormat="1" applyFont="1" applyFill="1" applyBorder="1" applyAlignment="1" applyProtection="1">
      <alignment horizontal="center" vertical="center"/>
      <protection locked="0"/>
    </xf>
  </cellXfs>
  <cellStyles count="23">
    <cellStyle name="百分比" xfId="17" builtinId="5"/>
    <cellStyle name="百分比 2" xfId="14"/>
    <cellStyle name="百分比 3" xfId="20"/>
    <cellStyle name="百分比 3 2" xfId="22"/>
    <cellStyle name="常规" xfId="0" builtinId="0"/>
    <cellStyle name="常规 11" xfId="18"/>
    <cellStyle name="常规 13"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v>0</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v>0</v>
          </cell>
        </row>
      </sheetData>
      <sheetData sheetId="13"/>
      <sheetData sheetId="14">
        <row r="2">
          <cell r="C2" t="str">
            <v>1号楼</v>
          </cell>
          <cell r="D2" t="str">
            <v>2号楼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2">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4">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5">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6">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北京经济技术开发区荣华中路19号1号楼房地产抵押价值预评估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受贵公司委托，我公司对北京经济技术开发区荣华中路19号1号楼房地产抵押价值进行了预评估。</v>
      </c>
    </row>
    <row r="7" spans="1:2">
      <c r="A7" s="1116" t="s">
        <v>566</v>
      </c>
      <c r="B7" s="1117" t="str">
        <f>'预评函-1'!A7</f>
        <v>估价对象为北京经济技术开发区荣华中路19号1号楼房地产，为北京朝林实业有限公司所有。根据《国有土地使用证》[]，估价对象（分摊）出让国有建设用地使用权面积为0平方米，建筑面积为67180.95平方米。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经济技术开发区荣华中路19号1号楼房地产,属北京朝林实业有限公司开发建设的，该项目尚在开发建设中。根据《国有土地使用证》[]，估价对象（分摊）出让国有建设用地使用权面积为0平方米，规划建筑面积为67180.95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2025年3月19日（评估专业人员实地查勘之日）</v>
      </c>
    </row>
    <row r="13" spans="1:2">
      <c r="A13" s="1116" t="s">
        <v>529</v>
      </c>
      <c r="B13" s="1117" t="str">
        <f>'预评函-1'!A18</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170211</v>
      </c>
    </row>
    <row r="21" spans="1:2">
      <c r="A21" s="1116" t="s">
        <v>537</v>
      </c>
      <c r="B21" s="1117">
        <f ca="1">'预评函-2'!D7</f>
        <v>25336</v>
      </c>
    </row>
    <row r="22" spans="1:2">
      <c r="A22" s="1116" t="s">
        <v>538</v>
      </c>
      <c r="B22" s="1117" t="str">
        <f ca="1">'预评函-2'!D6</f>
        <v>壹拾柒亿零贰佰壹拾壹万元整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170211</v>
      </c>
    </row>
    <row r="31" spans="1:2">
      <c r="A31" s="1116" t="s">
        <v>576</v>
      </c>
      <c r="B31" s="1117">
        <f ca="1">'预评函-2'!D15</f>
        <v>25336</v>
      </c>
    </row>
    <row r="32" spans="1:2">
      <c r="A32" s="1116" t="s">
        <v>543</v>
      </c>
      <c r="B32" s="1117" t="str">
        <f ca="1">'预评函-2'!D14</f>
        <v>壹拾柒亿零贰佰壹拾壹万元整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北京经济技术开发区荣华中路19号1号楼房地产</v>
      </c>
    </row>
    <row r="42" spans="1:2">
      <c r="A42" s="1116" t="s">
        <v>590</v>
      </c>
      <c r="B42" s="1117" t="str">
        <f>'预评函-3'!B2</f>
        <v>建筑面积</v>
      </c>
    </row>
    <row r="43" spans="1:2">
      <c r="A43" s="1116" t="s">
        <v>591</v>
      </c>
      <c r="B43" s="1117">
        <f>'预评函-3'!B4</f>
        <v>67180.950000000026</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101786</v>
      </c>
    </row>
    <row r="48" spans="1:2">
      <c r="A48" s="1116" t="s">
        <v>549</v>
      </c>
      <c r="B48" s="1117">
        <f ca="1">'预评函-3'!E4</f>
        <v>15151</v>
      </c>
    </row>
    <row r="49" spans="1:2">
      <c r="A49" s="1116" t="s">
        <v>550</v>
      </c>
      <c r="B49" s="1117" t="str">
        <f ca="1">'预评函-3'!D5</f>
        <v>壹拾亿壹仟柒佰捌拾陆万元整</v>
      </c>
    </row>
    <row r="50" spans="1:2">
      <c r="A50" s="1116" t="s">
        <v>574</v>
      </c>
      <c r="B50" s="1117" t="str">
        <f>'预评函-3'!F2</f>
        <v>在建建筑物价值</v>
      </c>
    </row>
    <row r="51" spans="1:2">
      <c r="A51" s="1116" t="s">
        <v>551</v>
      </c>
      <c r="B51" s="1117">
        <f ca="1">'预评函-3'!F4</f>
        <v>68425</v>
      </c>
    </row>
    <row r="52" spans="1:2">
      <c r="A52" s="1116" t="s">
        <v>552</v>
      </c>
      <c r="B52" s="1117">
        <f ca="1">'预评函-3'!G4</f>
        <v>10185</v>
      </c>
    </row>
    <row r="53" spans="1:2">
      <c r="A53" s="1116" t="s">
        <v>580</v>
      </c>
      <c r="B53" s="1117" t="str">
        <f ca="1">'预评函-3'!F5</f>
        <v>陆亿捌仟肆佰贰拾伍万元整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1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4" t="s">
        <v>385</v>
      </c>
      <c r="C54" s="1442" t="s">
        <v>583</v>
      </c>
    </row>
    <row r="55" spans="1:4">
      <c r="A55" s="3219"/>
      <c r="B55" s="1444" t="s">
        <v>386</v>
      </c>
      <c r="C55" s="1442" t="s">
        <v>584</v>
      </c>
    </row>
    <row r="56" spans="1:4">
      <c r="A56" s="3219"/>
      <c r="B56" s="1444" t="s">
        <v>387</v>
      </c>
      <c r="C56" s="1442" t="s">
        <v>588</v>
      </c>
    </row>
    <row r="57" spans="1:4">
      <c r="A57" s="321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20" t="s">
        <v>2576</v>
      </c>
      <c r="J2" s="3220"/>
      <c r="K2" s="3220"/>
      <c r="L2" s="3220"/>
      <c r="M2" s="3220"/>
      <c r="N2" s="3220"/>
      <c r="O2" s="3220"/>
      <c r="P2" s="3220"/>
      <c r="Q2" s="3220"/>
      <c r="R2" s="3220"/>
    </row>
    <row r="3" spans="1:18">
      <c r="A3" s="2757" t="s">
        <v>2497</v>
      </c>
      <c r="B3" s="2758">
        <f>项目基本情况!D3</f>
        <v>45735</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1.75</v>
      </c>
      <c r="D5" s="2762">
        <f>IF(ISERROR(ROUND(POWER(1+E5,A5-C5)*(POWER(1+E5,C5)-1)/(POWER(1+E5,A5)-1),3)),0,ROUND(POWER(1+E5,A5-C5)*(POWER(1+E5,C5)-1)/(POWER(1+E5,A5)-1),4))</f>
        <v>8.3799999999999999E-2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11.76</v>
      </c>
      <c r="D6" s="2762">
        <f>IF(ISERROR(ROUND(POWER(1+E6,A6-C6)*(POWER(1+E6,C6)-1)/(POWER(1+E6,A6)-1),3)),0,ROUND(POWER(1+E6,A6-C6)*(POWER(1+E6,C6)-1)/(POWER(1+E6,A6)-1),4))</f>
        <v>0.43</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31.77</v>
      </c>
      <c r="D7" s="2762">
        <f>IF(ISERROR(ROUND(POWER(1+E7,A7-C7)*(POWER(1+E7,C7)-1)/(POWER(1+E7,A7)-1),3)),0,ROUND(POWER(1+E7,A7-C7)*(POWER(1+E7,C7)-1)/(POWER(1+E7,A7)-1),4))</f>
        <v>0.76119999999999999</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4.25" thickBot="1">
      <c r="A18" s="2767" t="s">
        <v>2512</v>
      </c>
      <c r="B18" s="2768">
        <f>ROUND(B17*F11/F12,2)</f>
        <v>5541.87</v>
      </c>
      <c r="C18" s="2768">
        <f>ROUND(F11/F12,4)</f>
        <v>1.1521999999999999</v>
      </c>
      <c r="D18" s="2769"/>
      <c r="E18" s="2769"/>
      <c r="F18" s="2770"/>
    </row>
    <row r="19" spans="1:14" ht="14.25" thickBot="1"/>
    <row r="20" spans="1:14" s="2803" customFormat="1" ht="14.2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4.2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3384</v>
      </c>
    </row>
    <row r="50" spans="1:4">
      <c r="A50" s="3139" t="s">
        <v>3385</v>
      </c>
      <c r="B50" s="3139" t="s">
        <v>3386</v>
      </c>
      <c r="C50" s="3139" t="s">
        <v>3387</v>
      </c>
      <c r="D50" s="3139" t="s">
        <v>3388</v>
      </c>
    </row>
    <row r="51" spans="1:4">
      <c r="A51" s="3139" t="s">
        <v>3389</v>
      </c>
      <c r="B51" s="2759">
        <f>B52+B53</f>
        <v>15000</v>
      </c>
      <c r="C51" s="3140">
        <f>D51/B51</f>
        <v>2666.6666666666665</v>
      </c>
      <c r="D51" s="2759">
        <f>D52+D53</f>
        <v>40000000</v>
      </c>
    </row>
    <row r="52" spans="1:4">
      <c r="A52" s="3141" t="s">
        <v>3390</v>
      </c>
      <c r="B52" s="3142">
        <v>10000</v>
      </c>
      <c r="C52" s="3142">
        <v>1500</v>
      </c>
      <c r="D52" s="3143">
        <f>C52*B52</f>
        <v>15000000</v>
      </c>
    </row>
    <row r="53" spans="1:4">
      <c r="A53" s="3141" t="s">
        <v>3391</v>
      </c>
      <c r="B53" s="3142">
        <v>5000</v>
      </c>
      <c r="C53" s="3142">
        <v>5000</v>
      </c>
      <c r="D53" s="3143">
        <f>C53*B53</f>
        <v>25000000</v>
      </c>
    </row>
    <row r="54" spans="1:4">
      <c r="A54" s="3139" t="s">
        <v>3392</v>
      </c>
      <c r="B54" s="2759">
        <f>B51</f>
        <v>15000</v>
      </c>
      <c r="C54" s="2765">
        <v>700</v>
      </c>
      <c r="D54" s="2759">
        <f t="shared" ref="D54:D55" si="5">C54*B54</f>
        <v>10500000</v>
      </c>
    </row>
    <row r="55" spans="1:4">
      <c r="A55" s="3139" t="s">
        <v>3393</v>
      </c>
      <c r="B55" s="2759">
        <f>B51</f>
        <v>15000</v>
      </c>
      <c r="C55" s="2765">
        <v>1500</v>
      </c>
      <c r="D55" s="2759">
        <f t="shared" si="5"/>
        <v>22500000</v>
      </c>
    </row>
    <row r="56" spans="1:4">
      <c r="A56" s="3139" t="s">
        <v>3394</v>
      </c>
      <c r="B56" s="2759">
        <f>B51</f>
        <v>15000</v>
      </c>
      <c r="C56" s="3144">
        <f>C51+C54+C55</f>
        <v>4866.6666666666661</v>
      </c>
      <c r="D56" s="2759">
        <f>D51+D54+D55</f>
        <v>73000000</v>
      </c>
    </row>
    <row r="58" spans="1:4">
      <c r="A58" s="3139" t="s">
        <v>3395</v>
      </c>
      <c r="B58" s="3145">
        <v>0.05</v>
      </c>
      <c r="C58" s="2759">
        <f>C56*(1+B58)</f>
        <v>5110</v>
      </c>
      <c r="D58" s="2759">
        <f>D56*B58</f>
        <v>3650000</v>
      </c>
    </row>
    <row r="60" spans="1:4">
      <c r="A60" s="3139" t="s">
        <v>3396</v>
      </c>
      <c r="B60" s="2765">
        <v>3500</v>
      </c>
      <c r="C60" s="2765">
        <f>C53</f>
        <v>5000</v>
      </c>
      <c r="D60" s="2759">
        <f>C60*B60</f>
        <v>17500000</v>
      </c>
    </row>
    <row r="62" spans="1:4">
      <c r="A62" s="3139" t="s">
        <v>3397</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8" sqref="G28"/>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21" t="str">
        <f>IF(B10="北京市","北京市",C10)&amp;F10&amp;IF(结果表!G1="在建","出让国有建设用地使用权及在建建筑物",IF(结果表!G1="土地","出让国有建设用地使用权",))&amp;B9&amp;"预评估"</f>
        <v>北京经济技术开发区荣华中路19号1号楼房地产抵押价值预评估</v>
      </c>
      <c r="C1" s="3222"/>
      <c r="D1" s="3222"/>
      <c r="E1" s="3222"/>
      <c r="F1" s="3222"/>
      <c r="G1" s="3222"/>
      <c r="H1" s="3222"/>
      <c r="I1" s="3223"/>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北京经济技术开发区荣华中路19号1号楼房地产抵押价值</v>
      </c>
      <c r="T1" s="1615"/>
      <c r="U1" s="1615"/>
      <c r="V1" s="1615"/>
      <c r="W1" s="1615"/>
      <c r="X1" s="1615"/>
      <c r="Y1" s="1615"/>
      <c r="Z1" s="1615"/>
      <c r="AA1" s="1615"/>
      <c r="AB1" s="1615"/>
    </row>
    <row r="2" spans="1:30">
      <c r="A2" s="2179" t="s">
        <v>2169</v>
      </c>
      <c r="B2" s="120"/>
      <c r="D2" s="2442"/>
      <c r="E2" s="2436"/>
      <c r="F2" s="2436"/>
      <c r="G2" s="2437"/>
      <c r="H2" s="2437"/>
      <c r="I2" s="2437"/>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北京经济技术开发区荣华中路19号1号楼房地产</v>
      </c>
      <c r="T2" s="1615"/>
      <c r="U2" s="1615"/>
      <c r="V2" s="1615"/>
      <c r="W2" s="1615"/>
      <c r="X2" s="1615"/>
      <c r="Y2" s="1615"/>
      <c r="Z2" s="1615"/>
      <c r="AA2" s="1615"/>
      <c r="AB2" s="1615"/>
    </row>
    <row r="3" spans="1:30">
      <c r="A3" s="292" t="s">
        <v>2170</v>
      </c>
      <c r="B3" s="2182">
        <v>45735</v>
      </c>
      <c r="C3" s="2183" t="s">
        <v>2171</v>
      </c>
      <c r="D3" s="2182">
        <v>45735</v>
      </c>
      <c r="E3" s="2437"/>
      <c r="F3" s="2437"/>
      <c r="G3" s="2437"/>
      <c r="H3" s="2437"/>
      <c r="I3" s="2437"/>
      <c r="J3" s="2241"/>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3399</v>
      </c>
      <c r="C4" s="2185">
        <f ca="1">SUMIF(注册房地产估价师,B4,估价师及机构信息!B3:B24)</f>
        <v>1120070131</v>
      </c>
      <c r="D4" s="2184" t="s">
        <v>3400</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郑燚（注册号：1120070131)、崔锴（注册号：1120100036)</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7"/>
      <c r="F5" s="2437"/>
      <c r="G5" s="2437"/>
      <c r="H5" s="2437"/>
      <c r="I5" s="2437"/>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1"/>
      <c r="K6" s="2396" t="str">
        <f>IF(COUNTIF(B6,"*上海银行*"),"上海银行","")</f>
        <v/>
      </c>
      <c r="L6" s="2394"/>
      <c r="M6" s="2394"/>
      <c r="N6" s="2241"/>
      <c r="O6" s="1667"/>
      <c r="P6" s="2241"/>
      <c r="Q6" s="2241"/>
      <c r="R6" s="2241"/>
    </row>
    <row r="7" spans="1:30">
      <c r="A7" s="2191" t="s">
        <v>2175</v>
      </c>
      <c r="B7" s="2195"/>
      <c r="C7" s="2193"/>
      <c r="D7" s="2194"/>
      <c r="E7" s="2436"/>
      <c r="F7" s="2437"/>
      <c r="G7" s="2437"/>
      <c r="H7" s="2437"/>
      <c r="I7" s="2437"/>
      <c r="J7" s="2241"/>
      <c r="K7" s="2397"/>
      <c r="L7" s="2394"/>
      <c r="M7" s="2394"/>
      <c r="N7" s="2241"/>
      <c r="O7" s="1667"/>
      <c r="P7" s="2241"/>
      <c r="Q7" s="2241"/>
      <c r="R7" s="2241"/>
    </row>
    <row r="8" spans="1:30">
      <c r="A8" s="2196" t="s">
        <v>2176</v>
      </c>
      <c r="B8" s="2197" t="s">
        <v>3401</v>
      </c>
      <c r="C8" s="2198"/>
      <c r="D8" s="3224" t="s">
        <v>2177</v>
      </c>
      <c r="E8" s="2199"/>
      <c r="F8" s="2200"/>
      <c r="G8" s="2437"/>
      <c r="H8" s="2437"/>
      <c r="I8" s="2437"/>
      <c r="J8" s="2241"/>
      <c r="K8" s="2395"/>
      <c r="L8" s="2394"/>
      <c r="M8" s="2394"/>
      <c r="N8" s="2241"/>
      <c r="O8" s="1667"/>
      <c r="P8" s="2241"/>
      <c r="Q8" s="2241"/>
      <c r="R8" s="2241"/>
    </row>
    <row r="9" spans="1:30" ht="13.5" thickBot="1">
      <c r="A9" s="2201" t="s">
        <v>2178</v>
      </c>
      <c r="B9" s="2202" t="s">
        <v>3402</v>
      </c>
      <c r="C9" s="2203"/>
      <c r="D9" s="3225"/>
      <c r="E9" s="2202"/>
      <c r="F9" s="2204"/>
      <c r="G9" s="2438"/>
      <c r="H9" s="2438"/>
      <c r="I9" s="2438"/>
      <c r="J9" s="2241"/>
      <c r="K9" s="2397"/>
      <c r="L9" s="2394"/>
      <c r="M9" s="2394"/>
      <c r="N9" s="2241"/>
      <c r="O9" s="1667"/>
      <c r="P9" s="2241"/>
      <c r="Q9" s="2241"/>
      <c r="R9" s="2241"/>
    </row>
    <row r="10" spans="1:30" ht="13.5" thickTop="1">
      <c r="A10" s="2205" t="s">
        <v>2179</v>
      </c>
      <c r="B10" s="2206"/>
      <c r="C10" s="2207"/>
      <c r="D10" s="2190"/>
      <c r="E10" s="2208" t="s">
        <v>2180</v>
      </c>
      <c r="F10" s="3161" t="s">
        <v>3428</v>
      </c>
      <c r="G10" s="2439"/>
      <c r="H10" s="2440"/>
      <c r="I10" s="2441"/>
      <c r="J10" s="2241"/>
      <c r="K10" s="2397"/>
      <c r="L10" s="2394"/>
      <c r="M10" s="2394"/>
      <c r="N10" s="2241"/>
      <c r="O10" s="1667"/>
      <c r="P10" s="2241"/>
      <c r="Q10" s="2241"/>
      <c r="R10" s="2241"/>
    </row>
    <row r="11" spans="1:30" ht="24">
      <c r="A11" s="2209" t="s">
        <v>2181</v>
      </c>
      <c r="B11" s="2210" t="s">
        <v>3403</v>
      </c>
      <c r="C11" s="3162" t="s">
        <v>3429</v>
      </c>
      <c r="D11" s="2211"/>
      <c r="E11" s="2179"/>
      <c r="F11" s="2179"/>
      <c r="G11" s="2179"/>
      <c r="H11" s="2179"/>
      <c r="I11" s="2179"/>
      <c r="J11" s="2796"/>
      <c r="K11" s="2394"/>
      <c r="L11" s="2394"/>
      <c r="M11" s="2394"/>
      <c r="N11" s="2241"/>
      <c r="O11" s="1667"/>
      <c r="P11" s="2241"/>
      <c r="Q11" s="2241"/>
      <c r="R11" s="2241"/>
    </row>
    <row r="12" spans="1:30">
      <c r="A12" s="2212" t="s">
        <v>2182</v>
      </c>
      <c r="B12" s="313" t="s">
        <v>2183</v>
      </c>
      <c r="C12" s="2213" t="s">
        <v>2184</v>
      </c>
      <c r="D12" s="2213" t="s">
        <v>2185</v>
      </c>
      <c r="E12" s="2213" t="s">
        <v>2186</v>
      </c>
      <c r="F12" s="2213" t="s">
        <v>2187</v>
      </c>
      <c r="G12" s="2213" t="s">
        <v>2188</v>
      </c>
      <c r="H12" s="2213" t="s">
        <v>2189</v>
      </c>
      <c r="I12" s="2795" t="s">
        <v>2572</v>
      </c>
      <c r="J12" s="2797"/>
      <c r="K12" s="2394"/>
      <c r="L12" s="2394"/>
      <c r="M12" s="2241"/>
      <c r="N12" s="1667"/>
      <c r="O12" s="2241"/>
      <c r="P12" s="2241"/>
      <c r="Q12" s="2241"/>
      <c r="AD12" s="1615"/>
    </row>
    <row r="13" spans="1:30">
      <c r="A13" s="3116" t="s">
        <v>3327</v>
      </c>
      <c r="B13" s="2214" t="s">
        <v>2190</v>
      </c>
      <c r="C13" s="800"/>
      <c r="D13" s="3148"/>
      <c r="E13" s="800">
        <v>56317</v>
      </c>
      <c r="F13" s="800">
        <v>56317</v>
      </c>
      <c r="G13" s="800"/>
      <c r="H13" s="800"/>
      <c r="I13" s="800"/>
      <c r="J13" s="2797"/>
      <c r="K13" s="2394"/>
      <c r="L13" s="2394"/>
      <c r="M13" s="2241"/>
      <c r="N13" s="1667"/>
      <c r="O13" s="2241"/>
      <c r="P13" s="2241"/>
      <c r="Q13" s="2241"/>
      <c r="AD13" s="1615"/>
    </row>
    <row r="14" spans="1:30">
      <c r="A14" s="1015"/>
      <c r="B14" s="2214" t="s">
        <v>2191</v>
      </c>
      <c r="C14" s="2215"/>
      <c r="D14" s="2215"/>
      <c r="E14" s="2215">
        <v>50</v>
      </c>
      <c r="F14" s="2215">
        <v>50</v>
      </c>
      <c r="G14" s="2215"/>
      <c r="H14" s="2215"/>
      <c r="I14" s="2215"/>
      <c r="J14" s="2798"/>
      <c r="K14" s="2394"/>
      <c r="L14" s="2394"/>
      <c r="M14" s="2241"/>
      <c r="N14" s="1667"/>
      <c r="O14" s="2241"/>
      <c r="P14" s="2241"/>
      <c r="Q14" s="2241"/>
      <c r="AD14" s="1615"/>
    </row>
    <row r="15" spans="1:30">
      <c r="A15" s="310"/>
      <c r="B15" s="2216" t="s">
        <v>2192</v>
      </c>
      <c r="C15" s="2217" t="str">
        <f>IF(A13="出让",IF(C13="","",ROUNDDOWN(MIN((C13-$D$3)/365,C14),2)),C14)</f>
        <v/>
      </c>
      <c r="D15" s="2217" t="str">
        <f>IF(A13="出让",IF(D13="","",ROUNDDOWN(MIN((D13-$D$3)/365,D14),2)),D14)</f>
        <v/>
      </c>
      <c r="E15" s="2217">
        <f>IF(A13="出让",IF(E13="","",ROUNDDOWN(MIN((E13-$D$3)/365,E14),2)),E14)</f>
        <v>28.99</v>
      </c>
      <c r="F15" s="2217">
        <f>IF(A13="出让",IF(F13="","",ROUNDDOWN(MIN((F13-$D$3)/365,F14),2)),F14)</f>
        <v>28.99</v>
      </c>
      <c r="G15" s="2217" t="str">
        <f>IF(A13="出让",IF(G13="","",ROUNDDOWN(MIN((G13-$D$3)/365,G14),2)),G14)</f>
        <v/>
      </c>
      <c r="H15" s="2217" t="str">
        <f>IF(A13="出让",IF(H13="","",ROUNDDOWN(MIN((H13-$D$3)/365,H14),2)),H14)</f>
        <v/>
      </c>
      <c r="I15" s="2217" t="str">
        <f>IF(A13="出让",IF(I13="","",ROUNDDOWN(MIN((I13-$D$3)/365,I14),2)),I14)</f>
        <v/>
      </c>
      <c r="J15" s="2799"/>
      <c r="K15" s="1667"/>
      <c r="L15" s="1667"/>
      <c r="M15" s="2241"/>
      <c r="N15" s="1667"/>
      <c r="O15" s="2241"/>
      <c r="P15" s="2241"/>
      <c r="Q15" s="2241"/>
      <c r="AD15" s="1615"/>
    </row>
    <row r="16" spans="1:30">
      <c r="A16" s="2208" t="s">
        <v>2193</v>
      </c>
      <c r="B16" s="3231"/>
      <c r="C16" s="3232"/>
      <c r="D16" s="3233"/>
      <c r="E16" s="2218" t="s">
        <v>2194</v>
      </c>
      <c r="F16" s="3234"/>
      <c r="G16" s="3235"/>
      <c r="H16" s="3235"/>
      <c r="I16" s="3236"/>
      <c r="J16" s="2241"/>
      <c r="K16" s="2398"/>
      <c r="L16" s="1667"/>
      <c r="M16" s="1667"/>
      <c r="N16" s="2241"/>
      <c r="O16" s="1667"/>
      <c r="P16" s="2241"/>
      <c r="Q16" s="2241"/>
      <c r="R16" s="2241"/>
    </row>
    <row r="17" spans="1:28">
      <c r="A17" s="303" t="s">
        <v>2195</v>
      </c>
      <c r="B17" s="292" t="s">
        <v>2196</v>
      </c>
      <c r="C17" s="8">
        <f>'数据-汇总表'!E3</f>
        <v>67180.950000000026</v>
      </c>
      <c r="D17" s="1253" t="s">
        <v>2197</v>
      </c>
      <c r="E17" s="3237" t="s">
        <v>2198</v>
      </c>
      <c r="F17" s="3238"/>
      <c r="G17" s="3238"/>
      <c r="H17" s="3238"/>
      <c r="I17" s="3239"/>
      <c r="J17" s="2241"/>
      <c r="K17" s="2399"/>
      <c r="L17" s="1667"/>
      <c r="M17" s="1667"/>
      <c r="N17" s="2241"/>
      <c r="O17" s="1667"/>
      <c r="P17" s="2241"/>
      <c r="Q17" s="2241"/>
      <c r="R17" s="2241"/>
      <c r="S17" s="2241"/>
      <c r="T17" s="2241"/>
      <c r="U17" s="2241"/>
      <c r="V17" s="2241"/>
    </row>
    <row r="18" spans="1:28" ht="24.75" thickBot="1">
      <c r="A18" s="2219" t="s">
        <v>2199</v>
      </c>
      <c r="B18" s="1024" t="s">
        <v>2200</v>
      </c>
      <c r="C18" s="2220">
        <f>'数据-汇总表'!D3</f>
        <v>0</v>
      </c>
      <c r="D18" s="1026" t="s">
        <v>2201</v>
      </c>
      <c r="E18" s="3240" t="s">
        <v>2202</v>
      </c>
      <c r="F18" s="3241"/>
      <c r="G18" s="3241"/>
      <c r="H18" s="3241"/>
      <c r="I18" s="3242"/>
      <c r="J18" s="2241"/>
      <c r="K18" s="2399"/>
      <c r="L18" s="1667"/>
      <c r="M18" s="1667"/>
      <c r="N18" s="2241"/>
      <c r="O18" s="1667"/>
      <c r="P18" s="2241"/>
      <c r="Q18" s="2241"/>
      <c r="R18" s="2241"/>
      <c r="S18" s="2241"/>
      <c r="T18" s="2241"/>
      <c r="U18" s="2241"/>
      <c r="V18" s="2241"/>
    </row>
    <row r="19" spans="1:28" ht="37.5" thickTop="1" thickBot="1">
      <c r="A19" s="317" t="s">
        <v>1055</v>
      </c>
      <c r="B19" s="297" t="s">
        <v>2203</v>
      </c>
      <c r="C19" s="1452"/>
      <c r="D19" s="1453" t="s">
        <v>2204</v>
      </c>
      <c r="E19" s="1454"/>
      <c r="F19" s="1455" t="str">
        <f>IF(AND(C19="是",E19="否"),"是否提供他项权证或相关说明","")</f>
        <v/>
      </c>
      <c r="G19" s="1456"/>
      <c r="H19" s="2437"/>
      <c r="I19" s="2437"/>
      <c r="J19" s="2241"/>
      <c r="K19" s="2397"/>
      <c r="L19" s="2394"/>
      <c r="M19" s="2394"/>
      <c r="N19" s="2241"/>
      <c r="O19" s="1667"/>
      <c r="P19" s="2241"/>
      <c r="Q19" s="2241"/>
      <c r="R19" s="2241"/>
      <c r="S19" s="2241"/>
      <c r="T19" s="2241"/>
      <c r="U19" s="2241"/>
      <c r="V19" s="2241"/>
    </row>
    <row r="20" spans="1:28">
      <c r="A20" s="2412" t="s">
        <v>2205</v>
      </c>
      <c r="B20" s="3227" t="s">
        <v>2206</v>
      </c>
      <c r="C20" s="3228"/>
      <c r="D20" s="3229" t="s">
        <v>2207</v>
      </c>
      <c r="E20" s="3230"/>
      <c r="F20" s="2425" t="s">
        <v>1056</v>
      </c>
      <c r="G20" s="2437"/>
      <c r="H20" s="2437"/>
      <c r="I20" s="2437"/>
      <c r="J20" s="2241"/>
      <c r="K20" s="3226"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2"/>
      <c r="B21" s="2413" t="s">
        <v>2209</v>
      </c>
      <c r="C21" s="2291" t="s">
        <v>1057</v>
      </c>
      <c r="D21" s="1457" t="s">
        <v>2210</v>
      </c>
      <c r="E21" s="2414" t="s">
        <v>1057</v>
      </c>
      <c r="F21" s="2426"/>
      <c r="G21" s="2437"/>
      <c r="H21" s="2437"/>
      <c r="I21" s="2437"/>
      <c r="J21" s="2241"/>
      <c r="K21" s="322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2"/>
      <c r="B22" s="2415" t="s">
        <v>2211</v>
      </c>
      <c r="C22" s="2291" t="s">
        <v>1058</v>
      </c>
      <c r="D22" s="2437"/>
      <c r="E22" s="2437"/>
      <c r="F22" s="2437"/>
      <c r="G22" s="2437"/>
      <c r="H22" s="2437"/>
      <c r="I22" s="2437"/>
      <c r="J22" s="2241"/>
      <c r="K22" s="322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1"/>
      <c r="K23" s="2396"/>
      <c r="L23" s="119"/>
      <c r="M23" s="2394"/>
      <c r="N23" s="2241"/>
      <c r="O23" s="1667"/>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19"/>
      <c r="M24" s="2394"/>
      <c r="N24" s="2241"/>
      <c r="O24" s="1667"/>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7"/>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7"/>
      <c r="P26" s="2241"/>
      <c r="Q26" s="2241"/>
      <c r="R26" s="2241"/>
      <c r="S26" s="2241"/>
      <c r="T26" s="2241"/>
      <c r="U26" s="2241"/>
      <c r="V26" s="2241"/>
    </row>
    <row r="27" spans="1:28" ht="13.5" thickTop="1">
      <c r="A27" s="3244" t="s">
        <v>2214</v>
      </c>
      <c r="B27" s="310" t="s">
        <v>2215</v>
      </c>
      <c r="C27" s="2221"/>
      <c r="D27" s="2222"/>
      <c r="E27" s="2437"/>
      <c r="F27" s="2437"/>
      <c r="G27" s="2437"/>
      <c r="H27" s="2437"/>
      <c r="I27" s="2437"/>
      <c r="J27" s="2241"/>
      <c r="K27" s="2398"/>
      <c r="L27" s="1667"/>
      <c r="M27" s="1667"/>
      <c r="N27" s="2241"/>
      <c r="O27" s="1667"/>
      <c r="P27" s="2241"/>
      <c r="Q27" s="2241"/>
      <c r="R27" s="2241"/>
      <c r="S27" s="2241"/>
      <c r="T27" s="2241"/>
      <c r="U27" s="2241"/>
      <c r="V27" s="2241"/>
    </row>
    <row r="28" spans="1:28">
      <c r="A28" s="3244"/>
      <c r="B28" s="292" t="s">
        <v>2216</v>
      </c>
      <c r="C28" s="2223"/>
      <c r="D28" s="2224"/>
      <c r="E28" s="2437"/>
      <c r="F28" s="2437"/>
      <c r="G28" s="2437"/>
      <c r="H28" s="2437"/>
      <c r="I28" s="2437"/>
      <c r="J28" s="2241"/>
      <c r="K28" s="2397"/>
      <c r="L28" s="2394"/>
      <c r="M28" s="2394"/>
      <c r="N28" s="2241"/>
      <c r="O28" s="1667"/>
      <c r="P28" s="2241"/>
      <c r="Q28" s="2241"/>
      <c r="R28" s="2241"/>
      <c r="S28" s="2241"/>
      <c r="T28" s="2241"/>
      <c r="U28" s="2241"/>
      <c r="V28" s="2241"/>
    </row>
    <row r="29" spans="1:28">
      <c r="A29" s="3244"/>
      <c r="B29" s="292" t="s">
        <v>2217</v>
      </c>
      <c r="C29" s="2225"/>
      <c r="D29" s="2226"/>
      <c r="E29" s="2437"/>
      <c r="F29" s="2437"/>
      <c r="G29" s="2437"/>
      <c r="H29" s="2437"/>
      <c r="I29" s="2437"/>
      <c r="J29" s="2241"/>
      <c r="K29" s="2397"/>
      <c r="L29" s="2394"/>
      <c r="M29" s="2394"/>
      <c r="N29" s="2241"/>
      <c r="O29" s="1667"/>
      <c r="P29" s="2241"/>
      <c r="Q29" s="2241"/>
      <c r="R29" s="2241"/>
      <c r="S29" s="2241"/>
      <c r="T29" s="2241"/>
      <c r="U29" s="2241"/>
      <c r="V29" s="2241"/>
    </row>
    <row r="30" spans="1:28">
      <c r="A30" s="3245"/>
      <c r="B30" s="292" t="s">
        <v>2218</v>
      </c>
      <c r="C30" s="3246"/>
      <c r="D30" s="3247"/>
      <c r="E30" s="2437"/>
      <c r="F30" s="2437"/>
      <c r="G30" s="2437"/>
      <c r="H30" s="2437"/>
      <c r="I30" s="2437"/>
      <c r="J30" s="2241"/>
      <c r="K30" s="2397"/>
      <c r="L30" s="2394"/>
      <c r="M30" s="2394"/>
      <c r="N30" s="2241"/>
      <c r="O30" s="1667"/>
      <c r="P30" s="2241"/>
      <c r="Q30" s="2241"/>
      <c r="R30" s="2241"/>
      <c r="S30" s="2241"/>
      <c r="T30" s="2241"/>
      <c r="U30" s="2241"/>
      <c r="V30" s="2241"/>
    </row>
    <row r="31" spans="1:28">
      <c r="A31" s="3248" t="s">
        <v>2219</v>
      </c>
      <c r="B31" s="2227"/>
      <c r="C31" s="12" t="str">
        <f>IF(B31="现房","成新及维护状况正常否",IF(B31="在建","工程状态是否正常",IF(B31="土地","是否闲置","-")))</f>
        <v>-</v>
      </c>
      <c r="D31" s="1278"/>
      <c r="E31" s="2228"/>
      <c r="F31" s="2437"/>
      <c r="G31" s="2437"/>
      <c r="H31" s="2437"/>
      <c r="I31" s="2437"/>
      <c r="J31" s="2241"/>
      <c r="K31" s="2396"/>
      <c r="L31" s="2394"/>
      <c r="M31" s="2394"/>
      <c r="N31" s="2241"/>
      <c r="O31" s="1667"/>
      <c r="P31" s="2241"/>
      <c r="Q31" s="2241"/>
      <c r="R31" s="2241"/>
      <c r="S31" s="2241"/>
      <c r="T31" s="2241"/>
      <c r="U31" s="2241"/>
      <c r="V31" s="2241"/>
    </row>
    <row r="32" spans="1:28">
      <c r="A32" s="3249"/>
      <c r="B32" s="2227"/>
      <c r="C32" s="12" t="str">
        <f>IF(B32="现房","成新及维护状况是否正常",IF(B32="在建","工程状态是否正常",IF(B32="土地","是否闲置","-")))</f>
        <v>-</v>
      </c>
      <c r="D32" s="1278"/>
      <c r="E32" s="2228"/>
      <c r="F32" s="2437"/>
      <c r="G32" s="2437"/>
      <c r="H32" s="2437"/>
      <c r="I32" s="2437"/>
      <c r="J32" s="2241"/>
      <c r="K32" s="2397"/>
      <c r="L32" s="2394"/>
      <c r="M32" s="2394"/>
      <c r="N32" s="2241"/>
      <c r="O32" s="1667"/>
      <c r="P32" s="2241"/>
      <c r="Q32" s="2241"/>
      <c r="R32" s="2241"/>
      <c r="S32" s="2241"/>
      <c r="T32" s="2241"/>
      <c r="U32" s="2241"/>
      <c r="V32" s="2241"/>
    </row>
    <row r="33" spans="1:30">
      <c r="A33" s="3249"/>
      <c r="B33" s="2230"/>
      <c r="C33" s="1475" t="str">
        <f>IF(B33="现房","成新及维护状况是否正常",IF(B33="在建","工程状态是否正常",IF(B33="土地","是否闲置","-")))</f>
        <v>-</v>
      </c>
      <c r="D33" s="1271"/>
      <c r="E33" s="2231"/>
      <c r="F33" s="2437"/>
      <c r="G33" s="2437"/>
      <c r="H33" s="2437"/>
      <c r="I33" s="2437"/>
      <c r="J33" s="2241"/>
      <c r="K33" s="2397"/>
      <c r="L33" s="2394"/>
      <c r="M33" s="2394"/>
      <c r="N33" s="2241"/>
      <c r="O33" s="1667"/>
      <c r="P33" s="2241"/>
      <c r="Q33" s="2241"/>
      <c r="R33" s="2241"/>
      <c r="S33" s="2241"/>
      <c r="T33" s="2241"/>
      <c r="U33" s="2241"/>
      <c r="V33" s="2241"/>
    </row>
    <row r="34" spans="1:30">
      <c r="A34" s="292" t="s">
        <v>2220</v>
      </c>
      <c r="B34" s="1867"/>
      <c r="C34" s="1867"/>
      <c r="D34" s="1867"/>
      <c r="E34" s="1867"/>
      <c r="F34" s="1867"/>
      <c r="G34" s="1867"/>
      <c r="H34" s="1867"/>
      <c r="I34" s="2437"/>
      <c r="J34" s="2241"/>
      <c r="K34" s="8">
        <f>COUNTIF(B34:H34,"——")</f>
        <v>0</v>
      </c>
      <c r="L34" s="313" t="s">
        <v>2221</v>
      </c>
      <c r="M34" s="313" t="s">
        <v>2222</v>
      </c>
      <c r="N34" s="313" t="s">
        <v>2223</v>
      </c>
      <c r="O34" s="313" t="s">
        <v>2224</v>
      </c>
      <c r="P34" s="313" t="s">
        <v>2225</v>
      </c>
      <c r="Q34" s="313" t="s">
        <v>2226</v>
      </c>
      <c r="R34" s="313" t="s">
        <v>2227</v>
      </c>
      <c r="S34" s="3243" t="s">
        <v>2228</v>
      </c>
      <c r="T34" s="313" t="str">
        <f>NUMBERSTRING(7-K34,1)&amp;"通"</f>
        <v>七通</v>
      </c>
      <c r="U34" s="2241"/>
      <c r="V34" s="2241"/>
    </row>
    <row r="35" spans="1:30">
      <c r="A35" s="2232"/>
      <c r="B35" s="3243" t="s">
        <v>2229</v>
      </c>
      <c r="C35" s="3243"/>
      <c r="D35" s="3243"/>
      <c r="E35" s="3243"/>
      <c r="F35" s="8">
        <f>C10</f>
        <v>0</v>
      </c>
      <c r="G35" s="2437"/>
      <c r="H35" s="2437"/>
      <c r="I35" s="2437"/>
      <c r="J35" s="2241"/>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43"/>
      <c r="T35" s="136" t="str">
        <f>IF(T34="一通",L35,IF(T34="二通",M35,IF(T34="三通",N35,IF(T34="四通",O35,IF(T34="五通",P35,IF(T34="六通",Q35,R35))))))</f>
        <v>、、、、、、</v>
      </c>
      <c r="U35" s="2241"/>
      <c r="V35" s="2241"/>
    </row>
    <row r="36" spans="1:30">
      <c r="A36" s="2180"/>
      <c r="B36" s="8" t="s">
        <v>2185</v>
      </c>
      <c r="C36" s="8" t="s">
        <v>2186</v>
      </c>
      <c r="D36" s="8" t="s">
        <v>2184</v>
      </c>
      <c r="E36" s="8" t="s">
        <v>2189</v>
      </c>
      <c r="F36" s="2795" t="s">
        <v>2575</v>
      </c>
      <c r="G36" s="2437"/>
      <c r="H36" s="2437"/>
      <c r="I36" s="2437"/>
      <c r="J36" s="2241"/>
      <c r="K36" s="2397"/>
      <c r="L36" s="2394"/>
      <c r="M36" s="2394"/>
      <c r="N36" s="2241"/>
      <c r="O36" s="1667"/>
      <c r="P36" s="2241"/>
      <c r="Q36" s="2241"/>
      <c r="R36" s="2241"/>
      <c r="S36" s="2241"/>
      <c r="T36" s="2241"/>
      <c r="U36" s="2241"/>
      <c r="V36" s="2241"/>
    </row>
    <row r="37" spans="1:30">
      <c r="A37" s="2410" t="s">
        <v>2230</v>
      </c>
      <c r="B37" s="2233"/>
      <c r="C37" s="2233" t="s">
        <v>29</v>
      </c>
      <c r="D37" s="2233"/>
      <c r="E37" s="2233"/>
      <c r="F37" s="2233"/>
      <c r="G37" s="2437"/>
      <c r="H37" s="2437"/>
      <c r="I37" s="2437"/>
      <c r="J37" s="2241"/>
      <c r="K37" s="2397"/>
      <c r="L37" s="2394"/>
      <c r="M37" s="2394"/>
      <c r="N37" s="2241"/>
      <c r="O37" s="1667"/>
      <c r="P37" s="2241"/>
      <c r="Q37" s="2241"/>
      <c r="R37" s="2241"/>
      <c r="S37" s="2241"/>
      <c r="T37" s="2241"/>
      <c r="U37" s="2241"/>
      <c r="V37" s="2241"/>
    </row>
    <row r="38" spans="1:30" ht="13.5" thickBot="1">
      <c r="A38" s="2411" t="s">
        <v>2231</v>
      </c>
      <c r="B38" s="2234"/>
      <c r="C38" s="2234" t="s">
        <v>3430</v>
      </c>
      <c r="D38" s="2234"/>
      <c r="E38" s="2234"/>
      <c r="F38" s="2234"/>
      <c r="G38" s="2438"/>
      <c r="H38" s="2438"/>
      <c r="I38" s="2438"/>
      <c r="J38" s="2241"/>
      <c r="K38" s="2397"/>
      <c r="L38" s="2394"/>
      <c r="M38" s="2394"/>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1"/>
      <c r="K40" s="2396"/>
      <c r="L40" s="1667"/>
      <c r="M40" s="1667"/>
      <c r="N40" s="2241"/>
      <c r="O40" s="1667"/>
      <c r="P40" s="2241"/>
      <c r="Q40" s="2241"/>
      <c r="R40" s="2241"/>
      <c r="S40" s="2241"/>
      <c r="T40" s="2241"/>
      <c r="U40" s="2241"/>
      <c r="V40" s="2241"/>
    </row>
    <row r="41" spans="1:30">
      <c r="A41" s="2238" t="s">
        <v>2233</v>
      </c>
      <c r="B41" s="1624"/>
      <c r="C41" s="1278"/>
      <c r="D41" s="2179"/>
      <c r="E41" s="2179"/>
      <c r="F41" s="2179"/>
      <c r="G41" s="2179"/>
      <c r="H41" s="2179"/>
      <c r="I41" s="1463"/>
      <c r="J41" s="2241"/>
      <c r="K41" s="2397"/>
      <c r="L41" s="2394"/>
      <c r="M41" s="2394"/>
      <c r="N41" s="2241"/>
      <c r="O41" s="1667"/>
      <c r="P41" s="2241"/>
      <c r="Q41" s="2241"/>
      <c r="R41" s="2241"/>
      <c r="S41" s="2241"/>
      <c r="T41" s="2241"/>
      <c r="U41" s="2241"/>
      <c r="V41" s="2241"/>
    </row>
    <row r="42" spans="1:30" ht="25.5">
      <c r="A42" s="313"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1"/>
      <c r="T42" s="2241"/>
      <c r="U42" s="2241"/>
      <c r="V42" s="2241"/>
    </row>
    <row r="43" spans="1:30" s="1613" customFormat="1">
      <c r="A43" s="1459"/>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3" customFormat="1">
      <c r="A44" s="1459"/>
      <c r="B44" s="1459"/>
      <c r="C44" s="626"/>
      <c r="D44" s="626"/>
      <c r="E44" s="626"/>
      <c r="F44" s="626"/>
      <c r="G44" s="626"/>
      <c r="H44" s="626"/>
      <c r="I44" s="626"/>
      <c r="J44" s="2239"/>
      <c r="K44" s="2240"/>
      <c r="L44" s="2240"/>
      <c r="M44" s="626"/>
      <c r="N44" s="626"/>
      <c r="O44" s="626"/>
      <c r="P44" s="626"/>
      <c r="Q44" s="626"/>
      <c r="R44" s="626"/>
      <c r="S44" s="2241"/>
      <c r="T44" s="2241"/>
      <c r="U44" s="2241"/>
      <c r="V44" s="2241"/>
    </row>
    <row r="45" spans="1:30" s="1613" customFormat="1">
      <c r="A45" s="1459"/>
      <c r="B45" s="1459"/>
      <c r="C45" s="626"/>
      <c r="D45" s="626"/>
      <c r="E45" s="626"/>
      <c r="F45" s="626"/>
      <c r="G45" s="626"/>
      <c r="H45" s="626"/>
      <c r="I45" s="626"/>
      <c r="J45" s="2239"/>
      <c r="K45" s="2240"/>
      <c r="L45" s="2240"/>
      <c r="M45" s="626"/>
      <c r="N45" s="626"/>
      <c r="O45" s="626"/>
      <c r="P45" s="626"/>
      <c r="Q45" s="626"/>
      <c r="R45" s="626"/>
      <c r="S45" s="2241"/>
      <c r="T45" s="2241"/>
      <c r="U45" s="2241"/>
      <c r="V45" s="2241"/>
    </row>
    <row r="46" spans="1:30" s="1613" customFormat="1">
      <c r="A46" s="1459"/>
      <c r="B46" s="1459"/>
      <c r="C46" s="626"/>
      <c r="D46" s="626"/>
      <c r="E46" s="626"/>
      <c r="F46" s="626"/>
      <c r="G46" s="626"/>
      <c r="H46" s="626"/>
      <c r="I46" s="626"/>
      <c r="J46" s="2239"/>
      <c r="K46" s="2240"/>
      <c r="L46" s="2240"/>
      <c r="M46" s="626"/>
      <c r="N46" s="626"/>
      <c r="O46" s="626"/>
      <c r="P46" s="626"/>
      <c r="Q46" s="626"/>
      <c r="R46" s="626"/>
      <c r="S46" s="2241"/>
      <c r="T46" s="2241"/>
      <c r="U46" s="2241"/>
      <c r="V46" s="2241"/>
    </row>
    <row r="47" spans="1:30" s="1613" customFormat="1">
      <c r="A47" s="1459"/>
      <c r="B47" s="1459"/>
      <c r="C47" s="626"/>
      <c r="D47" s="626"/>
      <c r="E47" s="626"/>
      <c r="F47" s="626"/>
      <c r="G47" s="626"/>
      <c r="H47" s="626"/>
      <c r="I47" s="626"/>
      <c r="J47" s="2239"/>
      <c r="K47" s="2240"/>
      <c r="L47" s="2240"/>
      <c r="M47" s="626"/>
      <c r="N47" s="626"/>
      <c r="O47" s="626"/>
      <c r="P47" s="626"/>
      <c r="Q47" s="626"/>
      <c r="R47" s="626"/>
      <c r="S47" s="2241"/>
      <c r="T47" s="2241"/>
      <c r="U47" s="2241"/>
      <c r="V47" s="2241"/>
    </row>
    <row r="48" spans="1:30" s="1613" customFormat="1">
      <c r="A48" s="1459"/>
      <c r="B48" s="1459"/>
      <c r="C48" s="626"/>
      <c r="D48" s="626"/>
      <c r="E48" s="626"/>
      <c r="F48" s="626"/>
      <c r="G48" s="626"/>
      <c r="H48" s="626"/>
      <c r="I48" s="626"/>
      <c r="J48" s="2239"/>
      <c r="K48" s="2240"/>
      <c r="L48" s="2240"/>
      <c r="M48" s="626"/>
      <c r="N48" s="626"/>
      <c r="O48" s="626"/>
      <c r="P48" s="626"/>
      <c r="Q48" s="626"/>
      <c r="R48" s="626"/>
      <c r="S48" s="2241"/>
      <c r="T48" s="2241"/>
      <c r="U48" s="2241"/>
      <c r="V48" s="2241"/>
    </row>
    <row r="49" spans="1:22" s="1613" customFormat="1">
      <c r="A49" s="1459"/>
      <c r="B49" s="1459"/>
      <c r="C49" s="626"/>
      <c r="D49" s="626"/>
      <c r="E49" s="626"/>
      <c r="F49" s="626"/>
      <c r="G49" s="626"/>
      <c r="H49" s="626"/>
      <c r="I49" s="626"/>
      <c r="J49" s="2239"/>
      <c r="K49" s="2240"/>
      <c r="L49" s="2240"/>
      <c r="M49" s="626"/>
      <c r="N49" s="626"/>
      <c r="O49" s="626"/>
      <c r="P49" s="626"/>
      <c r="Q49" s="626"/>
      <c r="R49" s="626"/>
      <c r="S49" s="2241"/>
      <c r="T49" s="2241"/>
      <c r="U49" s="2241"/>
      <c r="V49" s="2241"/>
    </row>
    <row r="50" spans="1:22" s="1613" customFormat="1">
      <c r="A50" s="1459"/>
      <c r="B50" s="1459"/>
      <c r="C50" s="626"/>
      <c r="D50" s="626"/>
      <c r="E50" s="626"/>
      <c r="F50" s="626"/>
      <c r="G50" s="626"/>
      <c r="H50" s="626"/>
      <c r="I50" s="626"/>
      <c r="J50" s="2239"/>
      <c r="K50" s="2240"/>
      <c r="L50" s="2240"/>
      <c r="M50" s="626"/>
      <c r="N50" s="626"/>
      <c r="O50" s="626"/>
      <c r="P50" s="626"/>
      <c r="Q50" s="626"/>
      <c r="R50" s="626"/>
      <c r="S50" s="2241"/>
      <c r="T50" s="2241"/>
      <c r="U50" s="2241"/>
      <c r="V50" s="2241"/>
    </row>
    <row r="51" spans="1:22" s="1613" customFormat="1">
      <c r="A51" s="1459"/>
      <c r="B51" s="1459"/>
      <c r="C51" s="626"/>
      <c r="D51" s="626"/>
      <c r="E51" s="626"/>
      <c r="F51" s="626"/>
      <c r="G51" s="626"/>
      <c r="H51" s="626"/>
      <c r="I51" s="626"/>
      <c r="J51" s="2239"/>
      <c r="K51" s="2240"/>
      <c r="L51" s="2240"/>
      <c r="M51" s="626"/>
      <c r="N51" s="626"/>
      <c r="O51" s="626"/>
      <c r="P51" s="626"/>
      <c r="Q51" s="626"/>
      <c r="R51" s="626"/>
    </row>
    <row r="52" spans="1:22" s="1613" customFormat="1">
      <c r="A52" s="1459"/>
      <c r="B52" s="1459"/>
      <c r="C52" s="1459"/>
      <c r="D52" s="1459"/>
      <c r="E52" s="1459"/>
      <c r="F52" s="626"/>
      <c r="G52" s="1459"/>
      <c r="H52" s="1459"/>
      <c r="I52" s="1459"/>
      <c r="J52" s="2242"/>
      <c r="K52" s="2240"/>
      <c r="L52" s="2240"/>
      <c r="M52" s="2240"/>
      <c r="N52" s="1459"/>
      <c r="O52" s="1459"/>
      <c r="P52" s="1459"/>
      <c r="Q52" s="1459"/>
      <c r="R52" s="1459"/>
    </row>
    <row r="53" spans="1:22" s="1613" customFormat="1">
      <c r="A53" s="1459"/>
      <c r="B53" s="1459"/>
      <c r="C53" s="1459"/>
      <c r="D53" s="1459"/>
      <c r="E53" s="1459"/>
      <c r="F53" s="626"/>
      <c r="G53" s="1459"/>
      <c r="H53" s="1459"/>
      <c r="I53" s="1459"/>
      <c r="J53" s="2242"/>
      <c r="K53" s="2240"/>
      <c r="L53" s="2240"/>
      <c r="M53" s="2240"/>
      <c r="N53" s="1459"/>
      <c r="O53" s="1459"/>
      <c r="P53" s="1459"/>
      <c r="Q53" s="1459"/>
      <c r="R53" s="1459"/>
    </row>
    <row r="54" spans="1:22" s="1613" customFormat="1">
      <c r="A54" s="1459"/>
      <c r="B54" s="1459"/>
      <c r="C54" s="1459"/>
      <c r="D54" s="1459"/>
      <c r="E54" s="1459"/>
      <c r="F54" s="626"/>
      <c r="G54" s="1459"/>
      <c r="H54" s="1459"/>
      <c r="I54" s="1459"/>
      <c r="J54" s="2242"/>
      <c r="K54" s="2240"/>
      <c r="L54" s="2240"/>
      <c r="M54" s="2240"/>
      <c r="N54" s="1459"/>
      <c r="O54" s="1459"/>
      <c r="P54" s="1459"/>
      <c r="Q54" s="1459"/>
      <c r="R54" s="1459"/>
    </row>
    <row r="55" spans="1:22" s="1613" customFormat="1">
      <c r="A55" s="1459"/>
      <c r="B55" s="1459"/>
      <c r="C55" s="1459"/>
      <c r="D55" s="1459"/>
      <c r="E55" s="1459"/>
      <c r="F55" s="626"/>
      <c r="G55" s="1459"/>
      <c r="H55" s="1459"/>
      <c r="I55" s="1459"/>
      <c r="J55" s="2242"/>
      <c r="K55" s="2240"/>
      <c r="L55" s="2240"/>
      <c r="M55" s="2240"/>
      <c r="N55" s="1459"/>
      <c r="O55" s="1459"/>
      <c r="P55" s="1459"/>
      <c r="Q55" s="1459"/>
      <c r="R55" s="1459"/>
    </row>
    <row r="56" spans="1:22" s="1613" customFormat="1">
      <c r="A56" s="1459"/>
      <c r="B56" s="1459"/>
      <c r="C56" s="1459"/>
      <c r="D56" s="1459"/>
      <c r="E56" s="1459"/>
      <c r="F56" s="626"/>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S35"/>
  <sheetViews>
    <sheetView workbookViewId="0">
      <pane xSplit="1" ySplit="1" topLeftCell="B2" activePane="bottomRight" state="frozen"/>
      <selection pane="topRight"/>
      <selection pane="bottomLeft"/>
      <selection pane="bottomRight" activeCell="M36" sqref="M36"/>
    </sheetView>
  </sheetViews>
  <sheetFormatPr defaultColWidth="9" defaultRowHeight="13.5"/>
  <cols>
    <col min="1" max="2" width="9" style="3149"/>
    <col min="3" max="3" width="9" style="3163"/>
    <col min="4" max="5" width="9" style="3149"/>
    <col min="6" max="6" width="10.5" style="3149" bestFit="1" customWidth="1"/>
    <col min="7" max="7" width="10.5" style="3149" customWidth="1"/>
    <col min="8" max="9" width="9" style="3149"/>
    <col min="10" max="10" width="10.5" style="3149" bestFit="1" customWidth="1"/>
    <col min="11" max="18" width="9" style="3149"/>
    <col min="19" max="19" width="12.75" style="3149" bestFit="1" customWidth="1"/>
    <col min="20" max="16384" width="9" style="3149"/>
  </cols>
  <sheetData>
    <row r="1" spans="2:19">
      <c r="I1" s="3149" t="s">
        <v>3431</v>
      </c>
      <c r="J1" s="3149" t="s">
        <v>3432</v>
      </c>
    </row>
    <row r="2" spans="2:19">
      <c r="B2" s="3149" t="s">
        <v>3433</v>
      </c>
      <c r="C2" s="3164">
        <v>34712.6</v>
      </c>
      <c r="D2" s="3149" t="s">
        <v>3434</v>
      </c>
      <c r="E2" s="3149">
        <v>4.22</v>
      </c>
      <c r="H2" s="3149">
        <v>101</v>
      </c>
      <c r="I2" s="3149">
        <v>67180.850000000006</v>
      </c>
      <c r="J2" s="3175">
        <f>C2-J3</f>
        <v>19389.559999999998</v>
      </c>
      <c r="M2" s="3149" t="s">
        <v>3467</v>
      </c>
    </row>
    <row r="3" spans="2:19">
      <c r="H3" s="3165">
        <v>102</v>
      </c>
      <c r="I3" s="3165">
        <v>61537.21</v>
      </c>
      <c r="J3" s="3149">
        <f>ROUND(I3/D34*C2,2)</f>
        <v>15323.04</v>
      </c>
      <c r="M3" s="3150"/>
      <c r="N3" s="3151" t="s">
        <v>2324</v>
      </c>
      <c r="O3" s="3151" t="s">
        <v>3468</v>
      </c>
      <c r="P3" s="3151" t="s">
        <v>3469</v>
      </c>
      <c r="Q3" s="3150"/>
      <c r="R3" s="3152" t="s">
        <v>3470</v>
      </c>
    </row>
    <row r="4" spans="2:19">
      <c r="C4" s="3166"/>
      <c r="D4" s="3157" t="s">
        <v>3431</v>
      </c>
      <c r="E4" s="3157" t="s">
        <v>3435</v>
      </c>
      <c r="F4" s="3157" t="s">
        <v>3436</v>
      </c>
      <c r="G4" s="3157" t="s">
        <v>3437</v>
      </c>
      <c r="H4" s="3157">
        <v>101</v>
      </c>
      <c r="I4" s="3167">
        <v>102</v>
      </c>
      <c r="M4" s="3153" t="s">
        <v>3471</v>
      </c>
      <c r="N4" s="3154" t="e">
        <f>N5+N6</f>
        <v>#REF!</v>
      </c>
      <c r="O4" s="3154" t="e">
        <f>P4/N4</f>
        <v>#REF!</v>
      </c>
      <c r="P4" s="3154" t="e">
        <f>P5+P6</f>
        <v>#REF!</v>
      </c>
      <c r="Q4" s="3150"/>
      <c r="R4" s="3155">
        <v>1</v>
      </c>
    </row>
    <row r="5" spans="2:19">
      <c r="C5" s="3166" t="s">
        <v>3438</v>
      </c>
      <c r="D5" s="3157">
        <v>11879.89</v>
      </c>
      <c r="E5" s="3157">
        <v>8313.44</v>
      </c>
      <c r="F5" s="3157">
        <f>D5-E5</f>
        <v>3566.4499999999989</v>
      </c>
      <c r="G5" s="3157">
        <f>SUM(H5:I5)</f>
        <v>3566.45</v>
      </c>
      <c r="H5" s="3157">
        <v>1783.03</v>
      </c>
      <c r="I5" s="3167">
        <v>1783.42</v>
      </c>
      <c r="M5" s="3151" t="s">
        <v>3472</v>
      </c>
      <c r="N5" s="3156" t="e">
        <f>#REF!-#REF!</f>
        <v>#REF!</v>
      </c>
      <c r="O5" s="3150">
        <v>3000</v>
      </c>
      <c r="P5" s="3150" t="e">
        <f>O5*N5</f>
        <v>#REF!</v>
      </c>
      <c r="Q5" s="3150"/>
      <c r="R5" s="3150"/>
    </row>
    <row r="6" spans="2:19">
      <c r="C6" s="3166" t="s">
        <v>3439</v>
      </c>
      <c r="D6" s="3157">
        <v>11797.71</v>
      </c>
      <c r="E6" s="3157">
        <v>2294.4899999999998</v>
      </c>
      <c r="F6" s="3157">
        <f t="shared" ref="F6:F34" si="0">D6-E6</f>
        <v>9503.2199999999993</v>
      </c>
      <c r="G6" s="3157">
        <f t="shared" ref="G6:G33" si="1">SUM(H6:I6)</f>
        <v>9503.2199999999993</v>
      </c>
      <c r="H6" s="3157">
        <v>8183.29</v>
      </c>
      <c r="I6" s="3167">
        <v>1319.93</v>
      </c>
      <c r="M6" s="3151" t="s">
        <v>2634</v>
      </c>
      <c r="N6" s="3150" t="e">
        <f>#REF!+#REF!+#REF!</f>
        <v>#REF!</v>
      </c>
      <c r="O6" s="3150">
        <v>5000</v>
      </c>
      <c r="P6" s="3150" t="e">
        <f t="shared" ref="P6:P9" si="2">O6*N6</f>
        <v>#REF!</v>
      </c>
      <c r="Q6" s="3150"/>
      <c r="R6" s="3150"/>
    </row>
    <row r="7" spans="2:19">
      <c r="C7" s="3166" t="s">
        <v>3440</v>
      </c>
      <c r="D7" s="3157">
        <v>5989.57</v>
      </c>
      <c r="E7" s="3157"/>
      <c r="F7" s="3157">
        <f t="shared" si="0"/>
        <v>5989.57</v>
      </c>
      <c r="G7" s="3157">
        <f t="shared" si="1"/>
        <v>5989.57</v>
      </c>
      <c r="H7" s="3157">
        <v>2992.67</v>
      </c>
      <c r="I7" s="3167">
        <v>2996.9</v>
      </c>
      <c r="M7" s="3153" t="s">
        <v>3473</v>
      </c>
      <c r="N7" s="3154" t="e">
        <f>N4</f>
        <v>#REF!</v>
      </c>
      <c r="O7" s="3154">
        <v>500</v>
      </c>
      <c r="P7" s="3154" t="e">
        <f>O7*N7</f>
        <v>#REF!</v>
      </c>
      <c r="Q7" s="3150"/>
      <c r="R7" s="3155">
        <v>1</v>
      </c>
    </row>
    <row r="8" spans="2:19">
      <c r="C8" s="3166" t="s">
        <v>3441</v>
      </c>
      <c r="D8" s="3157">
        <v>5791.12</v>
      </c>
      <c r="E8" s="3157">
        <v>79.56</v>
      </c>
      <c r="F8" s="3157">
        <f t="shared" si="0"/>
        <v>5711.5599999999995</v>
      </c>
      <c r="G8" s="3157">
        <f t="shared" si="1"/>
        <v>5711.56</v>
      </c>
      <c r="H8" s="3157">
        <v>2855.78</v>
      </c>
      <c r="I8" s="3167">
        <v>2855.78</v>
      </c>
      <c r="M8" s="3153" t="s">
        <v>3474</v>
      </c>
      <c r="N8" s="3154" t="e">
        <f>N4</f>
        <v>#REF!</v>
      </c>
      <c r="O8" s="3154">
        <v>2000</v>
      </c>
      <c r="P8" s="3154" t="e">
        <f>O8*N8</f>
        <v>#REF!</v>
      </c>
      <c r="Q8" s="3150"/>
      <c r="R8" s="3155">
        <v>1</v>
      </c>
    </row>
    <row r="9" spans="2:19">
      <c r="C9" s="3166" t="s">
        <v>3442</v>
      </c>
      <c r="D9" s="3157">
        <v>4425.8999999999996</v>
      </c>
      <c r="E9" s="3157"/>
      <c r="F9" s="3157">
        <f t="shared" si="0"/>
        <v>4425.8999999999996</v>
      </c>
      <c r="G9" s="3157">
        <f t="shared" si="1"/>
        <v>4425.8999999999996</v>
      </c>
      <c r="H9" s="3157">
        <v>2099.12</v>
      </c>
      <c r="I9" s="3167">
        <v>2326.7800000000002</v>
      </c>
      <c r="M9" s="3153" t="s">
        <v>3475</v>
      </c>
      <c r="N9" s="3154">
        <v>0</v>
      </c>
      <c r="O9" s="3154">
        <f>O6</f>
        <v>5000</v>
      </c>
      <c r="P9" s="3154">
        <f t="shared" si="2"/>
        <v>0</v>
      </c>
      <c r="Q9" s="3150"/>
      <c r="R9" s="3150"/>
    </row>
    <row r="10" spans="2:19">
      <c r="C10" s="3166" t="s">
        <v>3443</v>
      </c>
      <c r="D10" s="3157">
        <v>6208.03</v>
      </c>
      <c r="E10" s="3157"/>
      <c r="F10" s="3157">
        <f t="shared" si="0"/>
        <v>6208.03</v>
      </c>
      <c r="G10" s="3157">
        <f t="shared" si="1"/>
        <v>6208.0300000000007</v>
      </c>
      <c r="H10" s="3157">
        <v>2807.92</v>
      </c>
      <c r="I10" s="3167">
        <v>3400.11</v>
      </c>
      <c r="M10" s="3151" t="s">
        <v>3406</v>
      </c>
      <c r="N10" s="3150" t="e">
        <f>N4</f>
        <v>#REF!</v>
      </c>
      <c r="O10" s="3150" t="e">
        <f>P10/N10</f>
        <v>#REF!</v>
      </c>
      <c r="P10" s="3150" t="e">
        <f>P4+P7+P8+P9</f>
        <v>#REF!</v>
      </c>
      <c r="Q10" s="3150"/>
      <c r="R10" s="3153" t="e">
        <f>(R4*P4+R7*P7+R8*P8)/P10</f>
        <v>#REF!</v>
      </c>
    </row>
    <row r="11" spans="2:19">
      <c r="C11" s="3166" t="s">
        <v>3444</v>
      </c>
      <c r="D11" s="3157">
        <v>6800.22</v>
      </c>
      <c r="E11" s="3157"/>
      <c r="F11" s="3157">
        <f t="shared" si="0"/>
        <v>6800.22</v>
      </c>
      <c r="G11" s="3157">
        <f t="shared" si="1"/>
        <v>6800.22</v>
      </c>
      <c r="H11" s="3157">
        <v>3400.11</v>
      </c>
      <c r="I11" s="3167">
        <v>3400.11</v>
      </c>
    </row>
    <row r="12" spans="2:19">
      <c r="C12" s="3166" t="s">
        <v>3445</v>
      </c>
      <c r="D12" s="3157">
        <v>5970.71</v>
      </c>
      <c r="E12" s="3157"/>
      <c r="F12" s="3157">
        <f t="shared" si="0"/>
        <v>5970.71</v>
      </c>
      <c r="G12" s="3157">
        <f t="shared" si="1"/>
        <v>5970.8099999999995</v>
      </c>
      <c r="H12" s="3157">
        <v>2787.85</v>
      </c>
      <c r="I12" s="3167">
        <v>3182.96</v>
      </c>
    </row>
    <row r="13" spans="2:19">
      <c r="C13" s="3166" t="s">
        <v>3446</v>
      </c>
      <c r="D13" s="3157">
        <v>4529.9799999999996</v>
      </c>
      <c r="E13" s="3157"/>
      <c r="F13" s="3157">
        <f t="shared" si="0"/>
        <v>4529.9799999999996</v>
      </c>
      <c r="G13" s="3157">
        <f t="shared" si="1"/>
        <v>4529.9799999999996</v>
      </c>
      <c r="H13" s="3157">
        <v>2264.9699999999998</v>
      </c>
      <c r="I13" s="3167">
        <v>2265.0100000000002</v>
      </c>
    </row>
    <row r="14" spans="2:19">
      <c r="C14" s="3166" t="s">
        <v>3447</v>
      </c>
      <c r="D14" s="3157">
        <v>3860.38</v>
      </c>
      <c r="E14" s="3157"/>
      <c r="F14" s="3157">
        <f t="shared" si="0"/>
        <v>3860.38</v>
      </c>
      <c r="G14" s="3157">
        <f t="shared" si="1"/>
        <v>3860.38</v>
      </c>
      <c r="H14" s="3157">
        <v>1930.19</v>
      </c>
      <c r="I14" s="3167">
        <v>1930.19</v>
      </c>
      <c r="M14" s="3149" t="s">
        <v>3476</v>
      </c>
    </row>
    <row r="15" spans="2:19">
      <c r="C15" s="3166" t="s">
        <v>3448</v>
      </c>
      <c r="D15" s="3157">
        <v>3860.38</v>
      </c>
      <c r="E15" s="3157"/>
      <c r="F15" s="3157">
        <f t="shared" si="0"/>
        <v>3860.38</v>
      </c>
      <c r="G15" s="3157">
        <f t="shared" si="1"/>
        <v>3860.38</v>
      </c>
      <c r="H15" s="3157">
        <v>1930.19</v>
      </c>
      <c r="I15" s="3167">
        <v>1930.19</v>
      </c>
      <c r="M15" s="3150"/>
      <c r="N15" s="3151" t="s">
        <v>3477</v>
      </c>
      <c r="O15" s="3151"/>
      <c r="P15" s="3151" t="s">
        <v>3478</v>
      </c>
      <c r="Q15" s="3151" t="s">
        <v>3479</v>
      </c>
      <c r="R15" s="3151" t="s">
        <v>3480</v>
      </c>
      <c r="S15" s="3152" t="s">
        <v>3481</v>
      </c>
    </row>
    <row r="16" spans="2:19">
      <c r="C16" s="3166" t="s">
        <v>3449</v>
      </c>
      <c r="D16" s="3157">
        <v>3860.38</v>
      </c>
      <c r="E16" s="3157"/>
      <c r="F16" s="3157">
        <f t="shared" si="0"/>
        <v>3860.38</v>
      </c>
      <c r="G16" s="3157">
        <f t="shared" si="1"/>
        <v>3860.38</v>
      </c>
      <c r="H16" s="3157">
        <v>1930.19</v>
      </c>
      <c r="I16" s="3167">
        <v>1930.19</v>
      </c>
      <c r="M16" s="3153" t="s">
        <v>3482</v>
      </c>
      <c r="N16" s="3154">
        <v>2012</v>
      </c>
      <c r="O16" s="3154">
        <v>2025</v>
      </c>
      <c r="P16" s="3154"/>
      <c r="Q16" s="3150">
        <v>60</v>
      </c>
      <c r="R16" s="3150">
        <v>0</v>
      </c>
      <c r="S16" s="3168">
        <f>ROUND((1-R16)-(O16-N16)/Q16,2)</f>
        <v>0.78</v>
      </c>
    </row>
    <row r="17" spans="3:19">
      <c r="C17" s="3166" t="s">
        <v>3450</v>
      </c>
      <c r="D17" s="3157">
        <v>3860.38</v>
      </c>
      <c r="E17" s="3157"/>
      <c r="F17" s="3157">
        <f t="shared" si="0"/>
        <v>3860.38</v>
      </c>
      <c r="G17" s="3157">
        <f t="shared" si="1"/>
        <v>3860.38</v>
      </c>
      <c r="H17" s="3157">
        <v>1930.19</v>
      </c>
      <c r="I17" s="3167">
        <v>1930.19</v>
      </c>
      <c r="M17" s="3151" t="s">
        <v>3483</v>
      </c>
      <c r="N17" s="3156"/>
      <c r="O17" s="3150"/>
      <c r="P17" s="3150"/>
      <c r="Q17" s="3150"/>
      <c r="R17" s="3150"/>
      <c r="S17" s="3155">
        <v>0.9</v>
      </c>
    </row>
    <row r="18" spans="3:19">
      <c r="C18" s="3166" t="s">
        <v>3451</v>
      </c>
      <c r="D18" s="3157">
        <v>3995.74</v>
      </c>
      <c r="E18" s="3157"/>
      <c r="F18" s="3157">
        <f t="shared" si="0"/>
        <v>3995.74</v>
      </c>
      <c r="G18" s="3157">
        <f t="shared" si="1"/>
        <v>3995.74</v>
      </c>
      <c r="H18" s="3157">
        <v>1997.87</v>
      </c>
      <c r="I18" s="3167">
        <v>1997.87</v>
      </c>
      <c r="M18" s="3151"/>
      <c r="N18" s="3150"/>
      <c r="O18" s="3150"/>
      <c r="P18" s="3150"/>
      <c r="Q18" s="3150"/>
      <c r="R18" s="3150"/>
      <c r="S18" s="3169">
        <f>ROUND((S17+S16)/2,2)</f>
        <v>0.84</v>
      </c>
    </row>
    <row r="19" spans="3:19">
      <c r="C19" s="3166" t="s">
        <v>3452</v>
      </c>
      <c r="D19" s="3157">
        <v>3995.74</v>
      </c>
      <c r="E19" s="3157"/>
      <c r="F19" s="3157">
        <f t="shared" si="0"/>
        <v>3995.74</v>
      </c>
      <c r="G19" s="3157">
        <f t="shared" si="1"/>
        <v>3995.74</v>
      </c>
      <c r="H19" s="3157">
        <v>1997.87</v>
      </c>
      <c r="I19" s="3167">
        <v>1997.87</v>
      </c>
    </row>
    <row r="20" spans="3:19">
      <c r="C20" s="3166" t="s">
        <v>3453</v>
      </c>
      <c r="D20" s="3157">
        <v>3995.74</v>
      </c>
      <c r="E20" s="3157"/>
      <c r="F20" s="3157">
        <f t="shared" si="0"/>
        <v>3995.74</v>
      </c>
      <c r="G20" s="3157">
        <f t="shared" si="1"/>
        <v>3995.74</v>
      </c>
      <c r="H20" s="3157">
        <v>1997.87</v>
      </c>
      <c r="I20" s="3167">
        <v>1997.87</v>
      </c>
    </row>
    <row r="21" spans="3:19">
      <c r="C21" s="3166" t="s">
        <v>3454</v>
      </c>
      <c r="D21" s="3157">
        <v>3995.74</v>
      </c>
      <c r="E21" s="3157"/>
      <c r="F21" s="3157">
        <f t="shared" si="0"/>
        <v>3995.74</v>
      </c>
      <c r="G21" s="3157">
        <f t="shared" si="1"/>
        <v>3995.74</v>
      </c>
      <c r="H21" s="3157">
        <v>1997.87</v>
      </c>
      <c r="I21" s="3167">
        <v>1997.87</v>
      </c>
      <c r="M21" s="3149" t="s">
        <v>3487</v>
      </c>
      <c r="O21" s="3149" t="s">
        <v>3484</v>
      </c>
    </row>
    <row r="22" spans="3:19">
      <c r="C22" s="3166" t="s">
        <v>3455</v>
      </c>
      <c r="D22" s="3157">
        <v>3995.74</v>
      </c>
      <c r="E22" s="3157"/>
      <c r="F22" s="3157">
        <f t="shared" si="0"/>
        <v>3995.74</v>
      </c>
      <c r="G22" s="3157">
        <f t="shared" si="1"/>
        <v>3995.74</v>
      </c>
      <c r="H22" s="3157">
        <v>1997.87</v>
      </c>
      <c r="I22" s="3167">
        <v>1997.87</v>
      </c>
      <c r="L22" s="3149" t="s">
        <v>3503</v>
      </c>
      <c r="M22" s="3151" t="s">
        <v>3485</v>
      </c>
      <c r="N22" s="3170" t="s">
        <v>3486</v>
      </c>
      <c r="O22" s="3151" t="s">
        <v>2324</v>
      </c>
      <c r="P22" s="3151" t="s">
        <v>3487</v>
      </c>
      <c r="Q22" s="3151"/>
      <c r="R22" s="3151"/>
    </row>
    <row r="23" spans="3:19">
      <c r="C23" s="3166" t="s">
        <v>3456</v>
      </c>
      <c r="D23" s="3157">
        <v>3995.74</v>
      </c>
      <c r="E23" s="3157"/>
      <c r="F23" s="3157">
        <f t="shared" si="0"/>
        <v>3995.74</v>
      </c>
      <c r="G23" s="3157">
        <f t="shared" si="1"/>
        <v>3995.74</v>
      </c>
      <c r="H23" s="3157">
        <v>1997.87</v>
      </c>
      <c r="I23" s="3167">
        <v>1997.87</v>
      </c>
      <c r="M23" s="3151" t="s">
        <v>3500</v>
      </c>
      <c r="N23" s="3150">
        <v>1</v>
      </c>
      <c r="O23" s="3150">
        <f>'数据-基础表'!I13</f>
        <v>55436.960000000036</v>
      </c>
      <c r="P23" s="3150">
        <v>6.6</v>
      </c>
      <c r="Q23" s="3171"/>
      <c r="R23" s="3150"/>
      <c r="S23" s="3172"/>
    </row>
    <row r="24" spans="3:19">
      <c r="C24" s="3166" t="s">
        <v>3457</v>
      </c>
      <c r="D24" s="3157">
        <v>3995.74</v>
      </c>
      <c r="E24" s="3157"/>
      <c r="F24" s="3157">
        <f t="shared" si="0"/>
        <v>3995.74</v>
      </c>
      <c r="G24" s="3157">
        <f t="shared" si="1"/>
        <v>3995.74</v>
      </c>
      <c r="H24" s="3157">
        <v>1997.87</v>
      </c>
      <c r="I24" s="3167">
        <v>1997.87</v>
      </c>
      <c r="M24" s="3151" t="s">
        <v>3501</v>
      </c>
      <c r="N24" s="3150">
        <v>1</v>
      </c>
      <c r="O24" s="3150">
        <f>I7</f>
        <v>2996.9</v>
      </c>
      <c r="P24" s="3150">
        <v>2</v>
      </c>
      <c r="Q24" s="3171"/>
      <c r="R24" s="3150"/>
      <c r="S24" s="3172"/>
    </row>
    <row r="25" spans="3:19">
      <c r="C25" s="3166" t="s">
        <v>3458</v>
      </c>
      <c r="D25" s="3157">
        <v>3995.74</v>
      </c>
      <c r="E25" s="3157"/>
      <c r="F25" s="3157">
        <f t="shared" si="0"/>
        <v>3995.74</v>
      </c>
      <c r="G25" s="3157">
        <f t="shared" si="1"/>
        <v>3995.74</v>
      </c>
      <c r="H25" s="3157">
        <v>1997.87</v>
      </c>
      <c r="I25" s="3167">
        <v>1997.87</v>
      </c>
      <c r="M25" s="3151" t="s">
        <v>3502</v>
      </c>
      <c r="N25" s="3150"/>
      <c r="O25" s="3150">
        <f>I5+I6</f>
        <v>3103.3500000000004</v>
      </c>
      <c r="P25" s="3150">
        <v>0.8</v>
      </c>
      <c r="Q25" s="3171"/>
      <c r="R25" s="3150"/>
      <c r="S25" s="3172"/>
    </row>
    <row r="26" spans="3:19">
      <c r="C26" s="3166" t="s">
        <v>3459</v>
      </c>
      <c r="D26" s="3157">
        <v>3995.74</v>
      </c>
      <c r="E26" s="3157"/>
      <c r="F26" s="3157">
        <f t="shared" si="0"/>
        <v>3995.74</v>
      </c>
      <c r="G26" s="3157">
        <f t="shared" si="1"/>
        <v>3995.74</v>
      </c>
      <c r="H26" s="3157">
        <v>1997.87</v>
      </c>
      <c r="I26" s="3167">
        <v>1997.87</v>
      </c>
      <c r="M26" s="3151"/>
      <c r="N26" s="3156"/>
      <c r="O26" s="3150"/>
      <c r="P26" s="3173">
        <f>(O23*P23+O24*P24+O25*P25)/I34</f>
        <v>6.0834804827843181</v>
      </c>
      <c r="Q26" s="3171"/>
      <c r="R26" s="3150"/>
      <c r="S26" s="3172"/>
    </row>
    <row r="27" spans="3:19">
      <c r="C27" s="3166" t="s">
        <v>3460</v>
      </c>
      <c r="D27" s="3157">
        <v>3995.74</v>
      </c>
      <c r="E27" s="3157"/>
      <c r="F27" s="3157">
        <f t="shared" si="0"/>
        <v>3995.74</v>
      </c>
      <c r="G27" s="3157">
        <f t="shared" si="1"/>
        <v>3995.74</v>
      </c>
      <c r="H27" s="3157">
        <v>1997.87</v>
      </c>
      <c r="I27" s="3167">
        <v>1997.87</v>
      </c>
      <c r="S27" s="3172"/>
    </row>
    <row r="28" spans="3:19">
      <c r="C28" s="3166" t="s">
        <v>3461</v>
      </c>
      <c r="D28" s="3157">
        <v>3995.74</v>
      </c>
      <c r="E28" s="3157"/>
      <c r="F28" s="3157">
        <f t="shared" si="0"/>
        <v>3995.74</v>
      </c>
      <c r="G28" s="3157">
        <f t="shared" si="1"/>
        <v>3995.74</v>
      </c>
      <c r="H28" s="3157">
        <v>1997.87</v>
      </c>
      <c r="I28" s="3167">
        <v>1997.87</v>
      </c>
      <c r="L28" s="3149" t="s">
        <v>3504</v>
      </c>
      <c r="M28" s="3151" t="s">
        <v>3500</v>
      </c>
      <c r="N28" s="3150">
        <v>1</v>
      </c>
      <c r="O28" s="3150">
        <f>'数据-基础表'!I14</f>
        <v>54221.960000000028</v>
      </c>
      <c r="P28" s="3150">
        <v>7.2</v>
      </c>
      <c r="Q28" s="3171"/>
      <c r="R28" s="3150"/>
      <c r="S28" s="3172"/>
    </row>
    <row r="29" spans="3:19">
      <c r="C29" s="3166" t="s">
        <v>3462</v>
      </c>
      <c r="D29" s="3157">
        <v>3995.74</v>
      </c>
      <c r="E29" s="3157"/>
      <c r="F29" s="3157">
        <f t="shared" si="0"/>
        <v>3995.74</v>
      </c>
      <c r="G29" s="3157">
        <f t="shared" si="1"/>
        <v>3995.74</v>
      </c>
      <c r="H29" s="3157">
        <v>1997.87</v>
      </c>
      <c r="I29" s="3167">
        <v>1997.87</v>
      </c>
      <c r="M29" s="3151" t="s">
        <v>3501</v>
      </c>
      <c r="N29" s="3150">
        <v>1</v>
      </c>
      <c r="O29" s="3150">
        <f>H7</f>
        <v>2992.67</v>
      </c>
      <c r="P29" s="3150">
        <f>P28*0.3</f>
        <v>2.16</v>
      </c>
      <c r="Q29" s="3171"/>
      <c r="R29" s="3150"/>
    </row>
    <row r="30" spans="3:19">
      <c r="C30" s="3166" t="s">
        <v>3463</v>
      </c>
      <c r="D30" s="3157">
        <v>3995.74</v>
      </c>
      <c r="E30" s="3157"/>
      <c r="F30" s="3157">
        <f t="shared" si="0"/>
        <v>3995.74</v>
      </c>
      <c r="G30" s="3157">
        <f t="shared" si="1"/>
        <v>3995.74</v>
      </c>
      <c r="H30" s="3157">
        <v>1997.87</v>
      </c>
      <c r="I30" s="3167">
        <v>1997.87</v>
      </c>
      <c r="M30" s="3151" t="s">
        <v>3502</v>
      </c>
      <c r="N30" s="3150"/>
      <c r="O30" s="3150">
        <f>H5+H6</f>
        <v>9966.32</v>
      </c>
      <c r="P30" s="3150">
        <v>0.8</v>
      </c>
      <c r="Q30" s="3150"/>
      <c r="R30" s="3150"/>
      <c r="S30" s="3174"/>
    </row>
    <row r="31" spans="3:19">
      <c r="C31" s="3166" t="s">
        <v>3464</v>
      </c>
      <c r="D31" s="3157">
        <v>3995.74</v>
      </c>
      <c r="E31" s="3157"/>
      <c r="F31" s="3157">
        <f t="shared" si="0"/>
        <v>3995.74</v>
      </c>
      <c r="G31" s="3157">
        <f t="shared" si="1"/>
        <v>3995.74</v>
      </c>
      <c r="H31" s="3157">
        <v>1997.87</v>
      </c>
      <c r="I31" s="3167">
        <v>1997.87</v>
      </c>
      <c r="M31" s="3151"/>
      <c r="N31" s="3150"/>
      <c r="O31" s="3150"/>
      <c r="P31" s="3173">
        <f>(O28*P28+O29*P29+O30*P30)/H34</f>
        <v>6.0260436209967265</v>
      </c>
      <c r="Q31" s="3150"/>
      <c r="R31" s="3150"/>
    </row>
    <row r="32" spans="3:19">
      <c r="C32" s="3166" t="s">
        <v>3465</v>
      </c>
      <c r="D32" s="3157">
        <v>3995.74</v>
      </c>
      <c r="E32" s="3157"/>
      <c r="F32" s="3157">
        <f t="shared" si="0"/>
        <v>3995.74</v>
      </c>
      <c r="G32" s="3157">
        <f t="shared" si="1"/>
        <v>3995.74</v>
      </c>
      <c r="H32" s="3157">
        <v>1997.87</v>
      </c>
      <c r="I32" s="3167">
        <v>1997.87</v>
      </c>
    </row>
    <row r="33" spans="3:17">
      <c r="C33" s="3166" t="s">
        <v>3466</v>
      </c>
      <c r="D33" s="3157">
        <v>634.79999999999995</v>
      </c>
      <c r="E33" s="3157"/>
      <c r="F33" s="3157">
        <f t="shared" si="0"/>
        <v>634.79999999999995</v>
      </c>
      <c r="G33" s="3157">
        <f t="shared" si="1"/>
        <v>634.79999999999995</v>
      </c>
      <c r="H33" s="3157">
        <v>317.39999999999998</v>
      </c>
      <c r="I33" s="3167">
        <v>317.39999999999998</v>
      </c>
      <c r="O33" s="3149">
        <f>O25/35</f>
        <v>88.667142857142863</v>
      </c>
      <c r="P33" s="3149">
        <v>800</v>
      </c>
      <c r="Q33" s="3149">
        <f>O33*P33*12/365/O25</f>
        <v>0.75146771037181981</v>
      </c>
    </row>
    <row r="34" spans="3:17">
      <c r="C34" s="3166" t="s">
        <v>2588</v>
      </c>
      <c r="D34" s="3157">
        <f>SUM(D5:D33)</f>
        <v>139405.55000000008</v>
      </c>
      <c r="E34" s="3157">
        <f>SUM(E5:E33)</f>
        <v>10687.49</v>
      </c>
      <c r="F34" s="3157">
        <f t="shared" si="0"/>
        <v>128718.06000000007</v>
      </c>
      <c r="G34" s="3157">
        <f t="shared" ref="G34:I34" si="3">SUM(G5:G33)</f>
        <v>128718.16000000006</v>
      </c>
      <c r="H34" s="3157">
        <f t="shared" si="3"/>
        <v>67180.950000000026</v>
      </c>
      <c r="I34" s="3167">
        <f t="shared" si="3"/>
        <v>61537.210000000036</v>
      </c>
      <c r="O34" s="3149">
        <f>O30/35</f>
        <v>284.75200000000001</v>
      </c>
      <c r="P34" s="3149">
        <v>800</v>
      </c>
      <c r="Q34" s="3149">
        <f>O34*P34*12/365/O30</f>
        <v>0.75146771037182003</v>
      </c>
    </row>
    <row r="35" spans="3:17">
      <c r="C35" s="3166"/>
      <c r="D35" s="3157"/>
      <c r="E35" s="3157"/>
      <c r="F35" s="3157"/>
      <c r="G35" s="3157"/>
      <c r="H35" s="3157"/>
      <c r="I35" s="3157"/>
    </row>
  </sheetData>
  <phoneticPr fontId="13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128718.16000000006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128718.16000000006</v>
      </c>
      <c r="H5" s="13">
        <f t="shared" ref="H5:AT5" si="0">SUM(H13:H656)</f>
        <v>128718.16000000006</v>
      </c>
      <c r="I5" s="13">
        <f t="shared" si="0"/>
        <v>109658.92000000007</v>
      </c>
      <c r="J5" s="13">
        <f t="shared" si="0"/>
        <v>0</v>
      </c>
      <c r="K5" s="13">
        <f t="shared" si="0"/>
        <v>19059.239999999998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67180.950000000026</v>
      </c>
      <c r="BA5" s="15">
        <f t="shared" si="1"/>
        <v>67180.950000000026</v>
      </c>
      <c r="BB5" s="15">
        <f t="shared" si="1"/>
        <v>54221.960000000028</v>
      </c>
      <c r="BC5" s="15">
        <f t="shared" si="1"/>
        <v>12958.99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3404</v>
      </c>
      <c r="J9" s="758"/>
      <c r="K9" s="1488" t="s">
        <v>3405</v>
      </c>
      <c r="L9" s="758"/>
      <c r="M9" s="1488" t="s">
        <v>3405</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21</v>
      </c>
      <c r="J10" s="758"/>
      <c r="K10" s="1494" t="s">
        <v>21</v>
      </c>
      <c r="L10" s="758"/>
      <c r="M10" s="1494" t="s">
        <v>3328</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t="str">
        <f>K10</f>
        <v>办公</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t="s">
        <v>3505</v>
      </c>
      <c r="C13" s="3158" t="str">
        <f>[1]面积清单!C2</f>
        <v>1号楼</v>
      </c>
      <c r="D13" s="1510" t="s">
        <v>3423</v>
      </c>
      <c r="E13" s="13">
        <f>IF($C$3="是",ROUND($A$3*G13/$B$3,2),ROUND($A$3*(G13-AT13)/$B$3,2))</f>
        <v>0</v>
      </c>
      <c r="F13" s="29"/>
      <c r="G13" s="30">
        <f>H13+AC13+AT13</f>
        <v>61537.210000000036</v>
      </c>
      <c r="H13" s="17">
        <f>SUMIF(I$12:AB$12,"总值",I13:AB13)</f>
        <v>61537.210000000036</v>
      </c>
      <c r="I13" s="1511">
        <f>面积清单!I34-'数据-基础表'!K13-'数据-基础表'!M13</f>
        <v>55436.960000000036</v>
      </c>
      <c r="J13" s="1511"/>
      <c r="K13" s="1511">
        <f>面积清单!I5+面积清单!I6+面积清单!I7</f>
        <v>6100.25</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B座</v>
      </c>
      <c r="AX13" s="8" t="str">
        <f t="shared" si="6"/>
        <v>1号楼</v>
      </c>
      <c r="AY13" s="125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t="s">
        <v>3506</v>
      </c>
      <c r="C14" s="3158" t="str">
        <f>[1]面积清单!D2</f>
        <v>2号楼</v>
      </c>
      <c r="D14" s="1510" t="s">
        <v>3409</v>
      </c>
      <c r="E14" s="13">
        <f>IF($C$3="是",ROUND($A$3*G14/$B$3,2),ROUND($A$3*(G14-AT14)/$B$3,2))</f>
        <v>0</v>
      </c>
      <c r="F14" s="29"/>
      <c r="G14" s="30">
        <f>H14+AC14+AT14</f>
        <v>67180.950000000026</v>
      </c>
      <c r="H14" s="17">
        <f>SUMIF(I$12:AB$12,"总值",I14:AB14)</f>
        <v>67180.950000000026</v>
      </c>
      <c r="I14" s="1511">
        <f>面积清单!H34-'数据-基础表'!K14</f>
        <v>54221.960000000028</v>
      </c>
      <c r="J14" s="1511"/>
      <c r="K14" s="1511">
        <f>面积清单!H5+面积清单!H6+面积清单!H7</f>
        <v>12958.99</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A座</v>
      </c>
      <c r="AX14" s="8" t="str">
        <f t="shared" si="6"/>
        <v>2号楼</v>
      </c>
      <c r="AY14" s="1257">
        <f>ROUND($AY$6*AZ14/$AZ$5,2)</f>
        <v>0</v>
      </c>
      <c r="AZ14" s="13">
        <f>BA14+BL14</f>
        <v>67180.950000000026</v>
      </c>
      <c r="BA14" s="13">
        <f>SUM(BB14:BK14)</f>
        <v>67180.950000000026</v>
      </c>
      <c r="BB14" s="13">
        <f>IF($D14="是",I14-J14,0)</f>
        <v>54221.960000000028</v>
      </c>
      <c r="BC14" s="13">
        <f>IF($D14="是",K14-L14,0)</f>
        <v>12958.99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6" sqref="E56"/>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59" t="s">
        <v>1131</v>
      </c>
      <c r="B2" s="3259"/>
      <c r="C2" s="3259"/>
      <c r="D2" s="745" t="s">
        <v>1107</v>
      </c>
      <c r="E2" s="1520" t="s">
        <v>1108</v>
      </c>
      <c r="F2" s="2434"/>
      <c r="G2" s="2427"/>
      <c r="H2" s="2428"/>
      <c r="I2" s="2143" t="s">
        <v>1132</v>
      </c>
      <c r="J2" s="2434"/>
      <c r="K2" s="2434"/>
      <c r="L2" s="2434"/>
      <c r="M2" s="2434"/>
      <c r="N2" s="2435"/>
      <c r="O2" s="2434"/>
      <c r="P2" s="2434"/>
    </row>
    <row r="3" spans="1:16" ht="15.75" thickBot="1">
      <c r="A3" s="3260" t="s">
        <v>1105</v>
      </c>
      <c r="B3" s="3260"/>
      <c r="C3" s="3260"/>
      <c r="D3" s="41">
        <f>'数据-基础表'!AY6</f>
        <v>0</v>
      </c>
      <c r="E3" s="41">
        <f>'数据-基础表'!AZ5</f>
        <v>67180.950000000026</v>
      </c>
      <c r="F3" s="2434"/>
      <c r="G3" s="42"/>
      <c r="H3" s="43" t="s">
        <v>1106</v>
      </c>
      <c r="I3" s="799" t="e">
        <f>ROUND('数据-基础表'!B3/'数据-基础表'!A3,2)</f>
        <v>#DIV/0!</v>
      </c>
      <c r="J3" s="2434"/>
      <c r="K3" s="2434"/>
      <c r="L3" s="2434"/>
      <c r="M3" s="2434"/>
      <c r="N3" s="2435"/>
      <c r="O3" s="2434"/>
      <c r="P3" s="2434"/>
    </row>
    <row r="4" spans="1:16" ht="15">
      <c r="A4" s="3261"/>
      <c r="B4" s="3262"/>
      <c r="C4" s="3263"/>
      <c r="D4" s="1521" t="s">
        <v>1107</v>
      </c>
      <c r="E4" s="1522" t="s">
        <v>1108</v>
      </c>
      <c r="F4" s="2434"/>
      <c r="G4" s="2429" t="s">
        <v>1133</v>
      </c>
      <c r="H4" s="43" t="s">
        <v>1113</v>
      </c>
      <c r="I4" s="799" t="e">
        <f>ROUND(SUMIF('数据-基础表'!I9:AS9,"地上",'数据-基础表'!I5:AS5)/'数据-基础表'!A3,2)</f>
        <v>#DIV/0!</v>
      </c>
      <c r="J4" s="2434"/>
      <c r="K4" s="2434"/>
      <c r="L4" s="2434"/>
      <c r="M4" s="2434"/>
      <c r="N4" s="2435"/>
      <c r="O4" s="2434"/>
      <c r="P4" s="2434"/>
    </row>
    <row r="5" spans="1:16">
      <c r="A5" s="42" t="s">
        <v>1109</v>
      </c>
      <c r="B5" s="3264" t="s">
        <v>1110</v>
      </c>
      <c r="C5" s="3264"/>
      <c r="D5" s="43">
        <f>ROUND($D$3*E5/$E$3,2)</f>
        <v>0</v>
      </c>
      <c r="E5" s="44">
        <f>SUMIF('数据-基础表'!$11:$11,"住宅",'数据-基础表'!$5:$5)</f>
        <v>0</v>
      </c>
      <c r="F5" s="2434"/>
      <c r="G5" s="42"/>
      <c r="H5" s="43" t="s">
        <v>1106</v>
      </c>
      <c r="I5" s="799" t="e">
        <f>ROUND(E31/D31,2)</f>
        <v>#DIV/0!</v>
      </c>
      <c r="J5" s="2434"/>
      <c r="K5" s="2434"/>
      <c r="L5" s="2434"/>
      <c r="M5" s="2434"/>
      <c r="N5" s="2434"/>
      <c r="O5" s="2434"/>
      <c r="P5" s="2434"/>
    </row>
    <row r="6" spans="1:16" ht="15" thickBot="1">
      <c r="A6" s="1524"/>
      <c r="B6" s="3264" t="s">
        <v>1111</v>
      </c>
      <c r="C6" s="3264"/>
      <c r="D6" s="43">
        <f>ROUND($D$3*E6/$E$3,2)</f>
        <v>0</v>
      </c>
      <c r="E6" s="44">
        <f>E3-E5</f>
        <v>67180.950000000026</v>
      </c>
      <c r="F6" s="2434"/>
      <c r="G6" s="1526" t="s">
        <v>1112</v>
      </c>
      <c r="H6" s="45" t="s">
        <v>1113</v>
      </c>
      <c r="I6" s="2430" t="e">
        <f>ROUND(F31/D31,2)</f>
        <v>#DIV/0!</v>
      </c>
      <c r="J6" s="2434"/>
      <c r="K6" s="2434"/>
      <c r="L6" s="2434"/>
      <c r="M6" s="2434"/>
      <c r="N6" s="2434"/>
      <c r="O6" s="2434"/>
      <c r="P6" s="2434"/>
    </row>
    <row r="7" spans="1:16" ht="15.75" thickBot="1">
      <c r="A7" s="3256"/>
      <c r="B7" s="3257"/>
      <c r="C7" s="3258"/>
      <c r="D7" s="1521" t="s">
        <v>1107</v>
      </c>
      <c r="E7" s="1525" t="s">
        <v>1114</v>
      </c>
      <c r="F7" s="2434"/>
      <c r="G7" s="2431" t="s">
        <v>1115</v>
      </c>
      <c r="H7" s="94"/>
      <c r="I7" s="2432">
        <f>面积清单!E2</f>
        <v>4.22</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54221.960000000028</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12958.99</v>
      </c>
      <c r="F11" s="2434"/>
      <c r="G11" s="2434"/>
      <c r="H11" s="2434"/>
      <c r="I11" s="2434"/>
      <c r="J11" s="2434"/>
      <c r="K11" s="2434"/>
      <c r="L11" s="2434"/>
      <c r="M11" s="2434"/>
      <c r="N11" s="2434"/>
      <c r="O11" s="2434"/>
      <c r="P11" s="2434"/>
    </row>
    <row r="12" spans="1:16">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0</v>
      </c>
      <c r="E16" s="48">
        <f>SUM(E8:E15)</f>
        <v>67180.950000000026</v>
      </c>
      <c r="F16" s="2434"/>
      <c r="G16" s="2434"/>
      <c r="H16" s="1528" t="s">
        <v>1135</v>
      </c>
      <c r="I16" s="1529"/>
      <c r="J16" s="1068"/>
      <c r="K16" s="3253" t="s">
        <v>1135</v>
      </c>
      <c r="L16" s="3254"/>
      <c r="M16" s="3254"/>
      <c r="N16" s="3254"/>
      <c r="O16" s="3254"/>
      <c r="P16" s="3255"/>
    </row>
    <row r="17" spans="1:19" ht="15">
      <c r="A17" s="1530" t="s">
        <v>1136</v>
      </c>
      <c r="B17" s="1531" t="s">
        <v>1137</v>
      </c>
      <c r="C17" s="1532" t="s">
        <v>1138</v>
      </c>
      <c r="D17" s="1533" t="s">
        <v>1126</v>
      </c>
      <c r="E17" s="1534" t="s">
        <v>1127</v>
      </c>
      <c r="F17" s="1535"/>
      <c r="G17" s="1536"/>
      <c r="H17" s="1537" t="s">
        <v>1139</v>
      </c>
      <c r="I17" s="1538" t="s">
        <v>1124</v>
      </c>
      <c r="J17" s="1068"/>
      <c r="K17" s="3250" t="s">
        <v>1140</v>
      </c>
      <c r="L17" s="3251"/>
      <c r="M17" s="3252"/>
      <c r="N17" s="3250" t="s">
        <v>1141</v>
      </c>
      <c r="O17" s="3251"/>
      <c r="P17" s="3252"/>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0" t="s">
        <v>3488</v>
      </c>
      <c r="D19" s="43">
        <f>ROUND($D$3*E19/$E$3,2)</f>
        <v>0</v>
      </c>
      <c r="E19" s="51">
        <f t="shared" ref="E19:E26" si="1">SUM(F19:G19)</f>
        <v>67180.950000000026</v>
      </c>
      <c r="F19" s="2552">
        <f>'数据-基础表'!I14</f>
        <v>54221.960000000028</v>
      </c>
      <c r="G19" s="1240">
        <f>'数据-基础表'!K14</f>
        <v>12958.99</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67180.950000000026</v>
      </c>
    </row>
    <row r="20" spans="1:19">
      <c r="A20" s="1546"/>
      <c r="B20" s="45" t="s">
        <v>1153</v>
      </c>
      <c r="C20" s="3110"/>
      <c r="D20" s="43">
        <f t="shared" ref="D20:D26" si="6">ROUND($D$3*E20/$E$3,2)</f>
        <v>0</v>
      </c>
      <c r="E20" s="51">
        <f t="shared" si="1"/>
        <v>0</v>
      </c>
      <c r="F20" s="2552"/>
      <c r="G20" s="1240">
        <f>'数据-基础表'!M13</f>
        <v>0</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0"/>
      <c r="D21" s="43">
        <f t="shared" si="6"/>
        <v>0</v>
      </c>
      <c r="E21" s="51">
        <f t="shared" si="1"/>
        <v>0</v>
      </c>
      <c r="F21" s="2552"/>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1"/>
      <c r="D22" s="43">
        <f t="shared" si="6"/>
        <v>0</v>
      </c>
      <c r="E22" s="51">
        <f t="shared" si="1"/>
        <v>0</v>
      </c>
      <c r="F22" s="2553"/>
      <c r="G22" s="2554"/>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1"/>
      <c r="D23" s="43">
        <f>ROUND($D$3*E23/$E$3,2)</f>
        <v>0</v>
      </c>
      <c r="E23" s="51">
        <f>SUM(F23:G23)</f>
        <v>0</v>
      </c>
      <c r="F23" s="2553"/>
      <c r="G23" s="2554"/>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1"/>
      <c r="D24" s="43">
        <f>ROUND($D$3*E24/$E$3,2)</f>
        <v>0</v>
      </c>
      <c r="E24" s="51">
        <f>SUM(F24:G24)</f>
        <v>0</v>
      </c>
      <c r="F24" s="2553"/>
      <c r="G24" s="2554"/>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1"/>
      <c r="D25" s="43">
        <f t="shared" si="6"/>
        <v>0</v>
      </c>
      <c r="E25" s="51">
        <f t="shared" si="1"/>
        <v>0</v>
      </c>
      <c r="F25" s="2553"/>
      <c r="G25" s="2554"/>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3"/>
      <c r="G26" s="2554"/>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0</v>
      </c>
      <c r="E27" s="1070">
        <f>IF(SUM(E19:E26)='数据-基础表'!BA5,SUM(E19:E26),IF(F27="地上面积有误","面积有误","地下面积有误"))</f>
        <v>67180.950000000026</v>
      </c>
      <c r="F27" s="1069">
        <f>IF(SUM(F19:F26)=E8,SUM(F19:F26),"地上面积有误")</f>
        <v>54221.960000000028</v>
      </c>
      <c r="G27" s="1071">
        <f>SUM(G19:G26)</f>
        <v>12958.99</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0</v>
      </c>
      <c r="S27" s="43">
        <f>IF(SUM(S19:S26)=$E$3,SUM(S19:S26),SUM(S19:S26)&amp;"误差"&amp;ROUND(SUM(S19:S26)-E3,2))</f>
        <v>67180.950000000026</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5"/>
      <c r="C31" s="782" t="s">
        <v>1158</v>
      </c>
      <c r="D31" s="641">
        <f>D27+D30</f>
        <v>0</v>
      </c>
      <c r="E31" s="641">
        <f>E27+E30</f>
        <v>67180.950000000026</v>
      </c>
      <c r="F31" s="642">
        <f>F27+F30</f>
        <v>54221.960000000028</v>
      </c>
      <c r="G31" s="643">
        <f>G27+G30</f>
        <v>12958.99</v>
      </c>
      <c r="H31" s="2434"/>
      <c r="I31" s="2434"/>
      <c r="J31" s="2434"/>
      <c r="K31" s="2434"/>
      <c r="L31" s="2434"/>
      <c r="M31" s="2434"/>
      <c r="N31" s="2434"/>
      <c r="O31" s="2434"/>
      <c r="P31" s="2434"/>
    </row>
    <row r="32" spans="1:19">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18" activePane="bottomRight" state="frozen"/>
      <selection activeCell="C50" sqref="C50"/>
      <selection pane="topRight" activeCell="C50" sqref="C50"/>
      <selection pane="bottomLeft" activeCell="C50" sqref="C50"/>
      <selection pane="bottomRight" activeCell="U35" sqref="U35"/>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62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8" customFormat="1" ht="15.75" thickBot="1">
      <c r="A2" s="1559" t="s">
        <v>1161</v>
      </c>
      <c r="B2" s="981">
        <f>项目基本情况!D3</f>
        <v>45735</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3407</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办公</v>
      </c>
      <c r="B6" s="1584" t="str">
        <f>IF(A6=0,"","经营性")</f>
        <v>经营性</v>
      </c>
      <c r="C6" s="1585" t="s">
        <v>21</v>
      </c>
      <c r="D6" s="802">
        <f>SUMIF(项目基本情况!C$12:I$12,C6,项目基本情况!C$14:I$14)</f>
        <v>50</v>
      </c>
      <c r="E6" s="801">
        <f>IF(B6="","",SUMIF(项目基本情况!C$12:I$12,C6,项目基本情况!C$13:I$13))</f>
        <v>56317</v>
      </c>
      <c r="F6" s="61">
        <f>SUMIF(项目基本情况!C$12:I$12,C6,项目基本情况!C$15:I$15)</f>
        <v>28.99</v>
      </c>
      <c r="G6" s="62">
        <f>IF(ISERROR(ROUND(POWER(1+H6,D6-F6)*(POWER(1+H6,F6)-1)/(POWER(1+H6,D6)-1),3)),0,ROUND(POWER(1+H6,D6-F6)*(POWER(1+H6,F6)-1)/(POWER(1+H6,D6)-1),3))</f>
        <v>0.82899999999999996</v>
      </c>
      <c r="H6" s="689">
        <v>0.05</v>
      </c>
      <c r="I6" s="689">
        <v>5.5E-2</v>
      </c>
      <c r="J6" s="63">
        <v>7.0000000000000007E-2</v>
      </c>
      <c r="K6" s="967">
        <f>SUMIF('数据-汇总表'!C$19:C$33,A6,'数据-汇总表'!E$19:E$33)</f>
        <v>67180.950000000026</v>
      </c>
      <c r="L6" s="3159">
        <v>6000</v>
      </c>
      <c r="M6" s="64">
        <f t="shared" ref="M6:M14" si="0">ROUND(K6*L6/10000,0)</f>
        <v>40309</v>
      </c>
      <c r="N6" s="688">
        <f>面积清单!S18</f>
        <v>0.84</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89">
        <f>ROUND($L$14*S6/10000,0)</f>
        <v>0</v>
      </c>
      <c r="U6" s="3514">
        <v>6</v>
      </c>
      <c r="V6" s="67">
        <v>0.02</v>
      </c>
      <c r="W6" s="67">
        <v>0.1</v>
      </c>
      <c r="X6" s="976"/>
      <c r="Y6" s="68">
        <f>N6</f>
        <v>0.84</v>
      </c>
      <c r="Z6" s="69"/>
      <c r="AA6" s="63"/>
      <c r="AB6" s="63"/>
      <c r="AC6" s="976"/>
      <c r="AD6" s="70"/>
      <c r="AE6" s="977">
        <f ca="1">IF(AN6="",0,SUMIF(INDIRECT("'"&amp;AN6&amp;"'"&amp;"!E:E"),$AE$5,INDIRECT("'"&amp;AN6&amp;"'"&amp;"!F:F")))</f>
        <v>28.99</v>
      </c>
      <c r="AF6" s="74"/>
      <c r="AG6" s="128">
        <f>IF(AF6="",0,AE6-AF6)</f>
        <v>0</v>
      </c>
      <c r="AH6" s="71"/>
      <c r="AI6" s="73">
        <v>365</v>
      </c>
      <c r="AJ6" s="74"/>
      <c r="AK6" s="75">
        <v>5.0000000000000001E-3</v>
      </c>
      <c r="AL6" s="75">
        <v>1E-3</v>
      </c>
      <c r="AM6" s="75">
        <v>5.0000000000000001E-3</v>
      </c>
      <c r="AN6" s="1586" t="s">
        <v>3410</v>
      </c>
      <c r="AO6" s="50">
        <f ca="1">SUMIF(INDIRECT("'"&amp;AN6&amp;"'"&amp;"!A:A"),"总价",INDIRECT("'"&amp;AN6&amp;"'"&amp;"!B:B"))</f>
        <v>191995</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3159"/>
      <c r="M7" s="64">
        <f t="shared" si="0"/>
        <v>0</v>
      </c>
      <c r="N7" s="688"/>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5"/>
      <c r="AM7" s="75"/>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3159"/>
      <c r="M8" s="64">
        <f>ROUND(K8*L8/10000,0)</f>
        <v>0</v>
      </c>
      <c r="N8" s="688"/>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2"/>
      <c r="V8" s="691"/>
      <c r="W8" s="691"/>
      <c r="X8" s="976"/>
      <c r="Y8" s="68"/>
      <c r="Z8" s="69"/>
      <c r="AA8" s="63"/>
      <c r="AB8" s="63"/>
      <c r="AC8" s="976"/>
      <c r="AD8" s="70"/>
      <c r="AE8" s="977">
        <f t="shared" ca="1" si="6"/>
        <v>0</v>
      </c>
      <c r="AF8" s="74"/>
      <c r="AG8" s="128">
        <f t="shared" si="7"/>
        <v>0</v>
      </c>
      <c r="AH8" s="692"/>
      <c r="AI8" s="73"/>
      <c r="AJ8" s="74"/>
      <c r="AK8" s="693"/>
      <c r="AL8" s="694"/>
      <c r="AM8" s="104"/>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3159"/>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3159"/>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3160"/>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0"/>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3160"/>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0"/>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3160"/>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3160">
        <f>L6</f>
        <v>6000</v>
      </c>
      <c r="M14" s="64">
        <f t="shared" si="0"/>
        <v>0</v>
      </c>
      <c r="N14" s="79">
        <f>N6</f>
        <v>0.84</v>
      </c>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0.82899999999999996</v>
      </c>
      <c r="H16" s="83">
        <f>ROUND(SUMPRODUCT(H6:H13,K6:K13)/SUMPRODUCT((H6:H13&gt;0)*(K6:K13)),3)</f>
        <v>0.05</v>
      </c>
      <c r="I16" s="84"/>
      <c r="J16" s="84"/>
      <c r="K16" s="85">
        <f>SUM(K6:K15)</f>
        <v>67180.950000000026</v>
      </c>
      <c r="L16" s="86">
        <f>ROUND(M16*10000/SUM(K6:K14),0)</f>
        <v>6000</v>
      </c>
      <c r="M16" s="86">
        <f>SUM(M6:M14)</f>
        <v>40309</v>
      </c>
      <c r="N16" s="87">
        <f>ROUND(SUMPRODUCT(M6:M14,N6:N14)/M16,3)</f>
        <v>0.84</v>
      </c>
      <c r="O16" s="86">
        <f>SUM(O6:O14)</f>
        <v>0</v>
      </c>
      <c r="P16" s="86">
        <f>SUM(P6:P14)</f>
        <v>0</v>
      </c>
      <c r="Q16" s="88">
        <f>ROUND(SUMPRODUCT(Q6:Q13,K6:K13)/SUMPRODUCT((Q6:Q13&gt;0)*(K6:K13)),2)</f>
        <v>0.2</v>
      </c>
      <c r="R16" s="971">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3" t="s">
        <v>1211</v>
      </c>
      <c r="B19" s="96">
        <v>0</v>
      </c>
      <c r="C19" s="2555" t="s">
        <v>2298</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4" t="s">
        <v>1212</v>
      </c>
      <c r="B20" s="97">
        <v>3</v>
      </c>
      <c r="C20" s="2556" t="s">
        <v>2296</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5" t="s">
        <v>1213</v>
      </c>
      <c r="B21" s="97">
        <f>B20</f>
        <v>3</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4" t="s">
        <v>1214</v>
      </c>
      <c r="B22" s="98">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5" t="s">
        <v>1215</v>
      </c>
      <c r="B23" s="98">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99">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8" t="s">
        <v>1220</v>
      </c>
      <c r="B27" s="100"/>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9" t="s">
        <v>1221</v>
      </c>
      <c r="B28" s="102">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0" t="s">
        <v>1222</v>
      </c>
      <c r="B29" s="3176">
        <f>ROUND(B28*K16/10000,0)</f>
        <v>1344</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8" t="s">
        <v>1226</v>
      </c>
      <c r="B33" s="638">
        <v>0.1</v>
      </c>
      <c r="C33" s="2559" t="s">
        <v>3380</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9" t="s">
        <v>1227</v>
      </c>
      <c r="B34" s="104">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9" t="s">
        <v>1228</v>
      </c>
      <c r="B35" s="102">
        <f>B30</f>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5">
        <v>0.02</v>
      </c>
      <c r="C36" s="2559" t="s">
        <v>3398</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1" t="s">
        <v>1230</v>
      </c>
      <c r="B37" s="106">
        <v>0.04</v>
      </c>
      <c r="C37" s="2559" t="s">
        <v>3381</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9" t="s">
        <v>1231</v>
      </c>
      <c r="B38" s="104">
        <v>2.5000000000000001E-2</v>
      </c>
      <c r="C38" s="2559" t="s">
        <v>3382</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2"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2306</v>
      </c>
      <c r="B40" s="1012">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8" t="s">
        <v>1233</v>
      </c>
      <c r="B41" s="107">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3"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3" t="s">
        <v>1235</v>
      </c>
      <c r="B43" s="109">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4" t="s">
        <v>1236</v>
      </c>
      <c r="B44" s="110">
        <v>7.0000000000000007E-2</v>
      </c>
      <c r="C44" s="2559" t="s">
        <v>3383</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4"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4"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1">
        <v>0</v>
      </c>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6"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7"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7" t="s">
        <v>1244</v>
      </c>
      <c r="B52" s="115">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9" t="s">
        <v>1245</v>
      </c>
      <c r="B53" s="1608"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5" customFormat="1" ht="18.75" thickBot="1">
      <c r="A1" s="3265" t="s">
        <v>2282</v>
      </c>
      <c r="B1" s="3266"/>
      <c r="C1" s="3266"/>
      <c r="D1" s="3266"/>
      <c r="E1" s="3266"/>
      <c r="F1" s="3266"/>
      <c r="G1" s="326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8"/>
      <c r="I2" s="748"/>
      <c r="J2" s="748"/>
      <c r="K2" s="748"/>
      <c r="L2" s="748"/>
      <c r="M2" s="748"/>
      <c r="N2" s="748"/>
      <c r="O2" s="748"/>
      <c r="P2" s="748"/>
      <c r="Q2" s="748"/>
    </row>
    <row r="3" spans="1:29" ht="25.5">
      <c r="A3" s="2243" t="s">
        <v>2280</v>
      </c>
      <c r="B3" s="2260" t="s">
        <v>2252</v>
      </c>
      <c r="C3" s="2261"/>
      <c r="D3" s="2262"/>
      <c r="E3" s="2244" t="s">
        <v>2280</v>
      </c>
      <c r="F3" s="2263" t="s">
        <v>2253</v>
      </c>
      <c r="G3" s="2264" t="s">
        <v>2281</v>
      </c>
      <c r="H3" s="748"/>
      <c r="I3" s="748"/>
      <c r="J3" s="748"/>
      <c r="K3" s="748"/>
      <c r="L3" s="748"/>
      <c r="M3" s="748"/>
      <c r="N3" s="748"/>
      <c r="O3" s="748"/>
      <c r="P3" s="748"/>
      <c r="Q3" s="748"/>
    </row>
    <row r="4" spans="1:29" ht="36">
      <c r="A4" s="2244"/>
      <c r="B4" s="313" t="s">
        <v>2254</v>
      </c>
      <c r="C4" s="3177"/>
      <c r="D4" s="2262"/>
      <c r="E4" s="2265"/>
      <c r="F4" s="1278" t="s">
        <v>2255</v>
      </c>
      <c r="G4" s="2266" t="s">
        <v>2256</v>
      </c>
      <c r="H4" s="748"/>
      <c r="I4" s="748"/>
      <c r="J4" s="748"/>
      <c r="K4" s="748"/>
      <c r="L4" s="748"/>
      <c r="M4" s="748"/>
      <c r="N4" s="748"/>
      <c r="O4" s="748"/>
      <c r="P4" s="748"/>
      <c r="Q4" s="748"/>
    </row>
    <row r="5" spans="1:29" ht="24">
      <c r="A5" s="2244"/>
      <c r="B5" s="313" t="s">
        <v>2257</v>
      </c>
      <c r="C5" s="3177" t="s">
        <v>3493</v>
      </c>
      <c r="D5" s="2262"/>
      <c r="E5" s="2265"/>
      <c r="F5" s="313" t="s">
        <v>2258</v>
      </c>
      <c r="G5" s="2266" t="s">
        <v>2259</v>
      </c>
      <c r="H5" s="748"/>
      <c r="I5" s="748"/>
      <c r="J5" s="748"/>
      <c r="K5" s="748"/>
      <c r="L5" s="748"/>
      <c r="M5" s="748"/>
      <c r="N5" s="748"/>
      <c r="O5" s="748"/>
      <c r="P5" s="748"/>
      <c r="Q5" s="748"/>
    </row>
    <row r="6" spans="1:29">
      <c r="A6" s="2244"/>
      <c r="B6" s="313" t="s">
        <v>2260</v>
      </c>
      <c r="C6" s="3178" t="s">
        <v>3489</v>
      </c>
      <c r="D6" s="2262"/>
      <c r="E6" s="2265"/>
      <c r="F6" s="313" t="s">
        <v>2261</v>
      </c>
      <c r="G6" s="2266" t="s">
        <v>2262</v>
      </c>
      <c r="H6" s="748"/>
      <c r="I6" s="748"/>
      <c r="J6" s="748"/>
      <c r="K6" s="748"/>
      <c r="L6" s="748"/>
      <c r="M6" s="748"/>
      <c r="N6" s="748"/>
      <c r="O6" s="748"/>
      <c r="P6" s="748"/>
      <c r="Q6" s="748"/>
    </row>
    <row r="7" spans="1:29" ht="24.75" thickBot="1">
      <c r="A7" s="2244"/>
      <c r="B7" s="313" t="s">
        <v>2258</v>
      </c>
      <c r="C7" s="2266" t="s">
        <v>3490</v>
      </c>
      <c r="D7" s="2241"/>
      <c r="E7" s="2267"/>
      <c r="F7" s="2268" t="s">
        <v>2263</v>
      </c>
      <c r="G7" s="2269" t="s">
        <v>2264</v>
      </c>
      <c r="H7" s="748"/>
      <c r="I7" s="748"/>
      <c r="J7" s="748"/>
      <c r="K7" s="748"/>
      <c r="L7" s="748"/>
      <c r="M7" s="748"/>
      <c r="N7" s="748"/>
      <c r="O7" s="748"/>
      <c r="P7" s="748"/>
      <c r="Q7" s="748"/>
    </row>
    <row r="8" spans="1:29">
      <c r="A8" s="2244"/>
      <c r="B8" s="313" t="s">
        <v>2261</v>
      </c>
      <c r="C8" s="2266" t="s">
        <v>3491</v>
      </c>
      <c r="D8" s="2241"/>
      <c r="E8" s="2241"/>
      <c r="F8" s="119"/>
      <c r="G8" s="119"/>
      <c r="H8" s="748"/>
      <c r="I8" s="748"/>
      <c r="J8" s="748"/>
      <c r="K8" s="748"/>
      <c r="L8" s="748"/>
      <c r="M8" s="748"/>
      <c r="N8" s="748"/>
      <c r="O8" s="748"/>
      <c r="P8" s="748"/>
      <c r="Q8" s="748"/>
    </row>
    <row r="9" spans="1:29" ht="24">
      <c r="A9" s="2244"/>
      <c r="B9" s="313" t="s">
        <v>2265</v>
      </c>
      <c r="C9" s="3177" t="s">
        <v>3494</v>
      </c>
      <c r="D9" s="2262"/>
      <c r="E9" s="2241"/>
      <c r="F9" s="119"/>
      <c r="G9" s="119"/>
      <c r="H9" s="748"/>
      <c r="I9" s="748"/>
      <c r="J9" s="748"/>
      <c r="K9" s="748"/>
      <c r="L9" s="748"/>
      <c r="M9" s="748"/>
      <c r="N9" s="748"/>
      <c r="O9" s="748"/>
      <c r="P9" s="748"/>
      <c r="Q9" s="748"/>
    </row>
    <row r="10" spans="1:29" ht="15" thickBot="1">
      <c r="A10" s="2245"/>
      <c r="B10" s="2270" t="s">
        <v>2266</v>
      </c>
      <c r="C10" s="2271" t="s">
        <v>3492</v>
      </c>
      <c r="D10" s="2262"/>
      <c r="E10" s="2262"/>
      <c r="F10" s="119"/>
      <c r="G10" s="119"/>
      <c r="J10" s="2273"/>
      <c r="M10" s="2273"/>
      <c r="P10" s="2273"/>
      <c r="R10" s="2272"/>
    </row>
    <row r="11" spans="1:29">
      <c r="A11" s="2274"/>
      <c r="B11" s="2241"/>
      <c r="C11" s="2262"/>
      <c r="D11" s="2262"/>
      <c r="E11" s="2262"/>
      <c r="F11" s="2241"/>
      <c r="G11" s="2241"/>
      <c r="J11" s="2273"/>
      <c r="M11" s="2273"/>
      <c r="P11" s="2273"/>
      <c r="R11" s="2272"/>
    </row>
    <row r="12" spans="1:29" s="2255" customFormat="1" ht="18">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2283</v>
      </c>
      <c r="B13" s="2275"/>
      <c r="C13" s="2275"/>
      <c r="D13" s="2274"/>
      <c r="E13" s="2275"/>
      <c r="F13" s="2275"/>
      <c r="G13" s="2275"/>
    </row>
    <row r="14" spans="1:29" ht="15" thickBot="1">
      <c r="A14" s="2280"/>
      <c r="B14" s="2280"/>
      <c r="C14" s="2281" t="s">
        <v>2267</v>
      </c>
      <c r="D14" s="2262"/>
      <c r="E14" s="2282"/>
      <c r="F14" s="2282"/>
      <c r="G14" s="2258" t="s">
        <v>2268</v>
      </c>
    </row>
    <row r="15" spans="1:29" ht="25.5">
      <c r="A15" s="2246" t="s">
        <v>2269</v>
      </c>
      <c r="B15" s="2283" t="s">
        <v>2252</v>
      </c>
      <c r="C15" s="2284">
        <f>C3</f>
        <v>0</v>
      </c>
      <c r="D15" s="2262"/>
      <c r="E15" s="2247" t="s">
        <v>2270</v>
      </c>
      <c r="F15" s="2283" t="s">
        <v>2271</v>
      </c>
      <c r="G15" s="2285" t="str">
        <f>G3</f>
        <v>估价对象位于XX开发区，园区建设成熟度XX，产业集聚程度XX</v>
      </c>
    </row>
    <row r="16" spans="1:29" ht="38.25">
      <c r="A16" s="2248"/>
      <c r="B16" s="2286" t="s">
        <v>2254</v>
      </c>
      <c r="C16" s="2287">
        <f>C4</f>
        <v>0</v>
      </c>
      <c r="D16" s="2262"/>
      <c r="E16" s="2249"/>
      <c r="F16" s="2288" t="s">
        <v>2255</v>
      </c>
      <c r="G16" s="2289" t="str">
        <f>G4</f>
        <v>估价对象周边道路状况、公共交通通达情况、停车便捷程度，综合评价交通便捷度较好</v>
      </c>
    </row>
    <row r="17" spans="1:17" ht="25.5">
      <c r="A17" s="2248"/>
      <c r="B17" s="2286" t="s">
        <v>2257</v>
      </c>
      <c r="C17" s="2287" t="str">
        <f>C5</f>
        <v>国锐金嵿、大族广场、亦城财富中心，较好</v>
      </c>
      <c r="D17" s="2241"/>
      <c r="E17" s="2249"/>
      <c r="F17" s="2288" t="s">
        <v>2272</v>
      </c>
      <c r="G17" s="2290"/>
    </row>
    <row r="18" spans="1:17" ht="25.5">
      <c r="A18" s="2248"/>
      <c r="B18" s="2288" t="s">
        <v>2260</v>
      </c>
      <c r="C18" s="2289" t="str">
        <f>C6</f>
        <v>较好</v>
      </c>
      <c r="D18" s="2241"/>
      <c r="E18" s="2249"/>
      <c r="F18" s="2288" t="s">
        <v>2263</v>
      </c>
      <c r="G18" s="2289" t="str">
        <f>G7</f>
        <v>该园区内是否有污染型企业，绿化情况，卫生条件，整体环境状况判断</v>
      </c>
    </row>
    <row r="19" spans="1:17" ht="25.5">
      <c r="A19" s="2248"/>
      <c r="B19" s="2288" t="s">
        <v>2273</v>
      </c>
      <c r="C19" s="2290"/>
      <c r="D19" s="2262"/>
      <c r="E19" s="2249"/>
      <c r="F19" s="313" t="s">
        <v>2258</v>
      </c>
      <c r="G19" s="2289" t="str">
        <f>G5</f>
        <v>估价对象所在区域公共配套设施齐备情况</v>
      </c>
    </row>
    <row r="20" spans="1:17" ht="25.5">
      <c r="A20" s="2248"/>
      <c r="B20" s="2288" t="s">
        <v>2274</v>
      </c>
      <c r="C20" s="2287" t="str">
        <f>C9</f>
        <v>博大公园、亦庄新城滨河公园，一般</v>
      </c>
      <c r="D20" s="2241"/>
      <c r="E20" s="2249"/>
      <c r="F20" s="313" t="s">
        <v>2261</v>
      </c>
      <c r="G20" s="2289" t="str">
        <f>G6</f>
        <v>估价对象所在区域基础设施水平</v>
      </c>
    </row>
    <row r="21" spans="1:17">
      <c r="A21" s="2248"/>
      <c r="B21" s="313" t="s">
        <v>2258</v>
      </c>
      <c r="C21" s="2289" t="str">
        <f>C7</f>
        <v>较好</v>
      </c>
      <c r="D21" s="2262"/>
      <c r="E21" s="2249"/>
      <c r="F21" s="2288" t="s">
        <v>2275</v>
      </c>
      <c r="G21" s="2291"/>
    </row>
    <row r="22" spans="1:17" ht="13.5" customHeight="1">
      <c r="A22" s="2248"/>
      <c r="B22" s="313" t="s">
        <v>2261</v>
      </c>
      <c r="C22" s="2289" t="str">
        <f>C8</f>
        <v>七通</v>
      </c>
      <c r="D22" s="2262"/>
      <c r="E22" s="2249"/>
      <c r="F22" s="2288" t="s">
        <v>2266</v>
      </c>
      <c r="G22" s="2290"/>
    </row>
    <row r="23" spans="1:17" s="748" customFormat="1" ht="15" thickBot="1">
      <c r="A23" s="2248"/>
      <c r="B23" s="2288" t="s">
        <v>2275</v>
      </c>
      <c r="C23" s="2291"/>
      <c r="D23" s="1611"/>
      <c r="E23" s="2250"/>
      <c r="F23" s="2292" t="s">
        <v>2276</v>
      </c>
      <c r="G23" s="2293"/>
      <c r="H23" s="2272"/>
      <c r="I23" s="2272"/>
      <c r="J23" s="2272"/>
      <c r="K23" s="2272"/>
      <c r="L23" s="2272"/>
      <c r="M23" s="2272"/>
      <c r="N23" s="2272"/>
      <c r="O23" s="2272"/>
      <c r="P23" s="2272"/>
      <c r="Q23" s="2272"/>
    </row>
    <row r="24" spans="1:17" s="748" customFormat="1" ht="15" thickBot="1">
      <c r="A24" s="2251"/>
      <c r="B24" s="2292" t="s">
        <v>2277</v>
      </c>
      <c r="C24" s="2294" t="str">
        <f>C10</f>
        <v>次干道-荣京西街</v>
      </c>
      <c r="D24" s="1611"/>
      <c r="E24" s="2241"/>
      <c r="F24" s="2241"/>
      <c r="G24" s="2241"/>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3" sqref="M13"/>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67180.950000000026</v>
      </c>
      <c r="C1" s="2456"/>
      <c r="D1" s="2456"/>
      <c r="E1" s="2456"/>
      <c r="F1" s="2456"/>
      <c r="G1" s="2457"/>
      <c r="H1" s="2457"/>
      <c r="I1" s="2457"/>
      <c r="J1" s="2457"/>
      <c r="K1" s="2457"/>
    </row>
    <row r="2" spans="1:11" ht="16.5">
      <c r="A2" s="2295" t="s">
        <v>653</v>
      </c>
      <c r="B2" s="2295">
        <f>SUM(C14:C23)</f>
        <v>0</v>
      </c>
      <c r="C2" s="2456"/>
      <c r="D2" s="2456"/>
      <c r="E2" s="2456"/>
      <c r="F2" s="2456"/>
      <c r="G2" s="2457"/>
      <c r="H2" s="2457"/>
      <c r="I2" s="2457"/>
      <c r="J2" s="2457"/>
      <c r="K2" s="2457"/>
    </row>
    <row r="3" spans="1:11" ht="16.5">
      <c r="A3" s="2295" t="s">
        <v>662</v>
      </c>
      <c r="B3" s="2297">
        <f>项目基本情况!D3</f>
        <v>45735</v>
      </c>
      <c r="C3" s="2456"/>
      <c r="D3" s="2456"/>
      <c r="E3" s="2456"/>
      <c r="F3" s="2456"/>
      <c r="G3" s="2457"/>
      <c r="H3" s="2457"/>
      <c r="I3" s="2457"/>
      <c r="J3" s="2457"/>
      <c r="K3" s="2457"/>
    </row>
    <row r="4" spans="1:11" ht="33">
      <c r="A4" s="2295" t="s">
        <v>661</v>
      </c>
      <c r="B4" s="2295" t="s">
        <v>660</v>
      </c>
      <c r="C4" s="2295" t="s">
        <v>659</v>
      </c>
      <c r="D4" s="2295" t="s">
        <v>658</v>
      </c>
      <c r="E4" s="2456"/>
      <c r="F4" s="2457"/>
      <c r="G4" s="2457"/>
      <c r="H4" s="2457"/>
      <c r="I4" s="2457"/>
      <c r="J4" s="2457"/>
      <c r="K4" s="2457"/>
    </row>
    <row r="5" spans="1:11" ht="16.5">
      <c r="A5" s="2295" t="s">
        <v>657</v>
      </c>
      <c r="B5" s="2295">
        <f ca="1">SUM(D14:D23)</f>
        <v>170211</v>
      </c>
      <c r="C5" s="2295">
        <f ca="1">IF(B5=D14,结果表!H102,ROUND(B5*10000/$B$1,0))</f>
        <v>25336</v>
      </c>
      <c r="D5" s="2295" t="e">
        <f ca="1">ROUND(B5*10000/$B$2,0)</f>
        <v>#DIV/0!</v>
      </c>
      <c r="E5" s="2456"/>
      <c r="F5" s="2457"/>
      <c r="G5" s="2457"/>
      <c r="H5" s="2457"/>
      <c r="I5" s="2457"/>
      <c r="J5" s="2457"/>
      <c r="K5" s="2457"/>
    </row>
    <row r="6" spans="1:11" ht="16.5">
      <c r="A6" s="2295" t="s">
        <v>656</v>
      </c>
      <c r="B6" s="2295">
        <f ca="1">SUM(G14:G23)</f>
        <v>170211</v>
      </c>
      <c r="C6" s="2295">
        <f ca="1">IF(B6=G14,结果表!H108,ROUND(B6*10000/$B$1,0))</f>
        <v>25336</v>
      </c>
      <c r="D6" s="2295" t="e">
        <f ca="1">ROUND(B6*10000/$B$2,0)</f>
        <v>#DIV/0!</v>
      </c>
      <c r="E6" s="2456"/>
      <c r="F6" s="2457"/>
      <c r="G6" s="2457"/>
      <c r="H6" s="2457"/>
      <c r="I6" s="2457"/>
      <c r="J6" s="2457"/>
      <c r="K6" s="2457"/>
    </row>
    <row r="7" spans="1:11" ht="16.5">
      <c r="A7" s="2295" t="s">
        <v>664</v>
      </c>
      <c r="B7" s="2295">
        <f>SUM(H14:H23)</f>
        <v>0</v>
      </c>
      <c r="C7" s="2295" t="str">
        <f>IF(B7=H14,结果表!H110,ROUND(B7*10000/$B$1,0))</f>
        <v>——</v>
      </c>
      <c r="D7" s="2295" t="e">
        <f>ROUND(B7*10000/$B$2,0)</f>
        <v>#DIV/0!</v>
      </c>
      <c r="E7" s="2456"/>
      <c r="F7" s="2457"/>
      <c r="G7" s="2457"/>
      <c r="H7" s="2457"/>
      <c r="I7" s="2457"/>
      <c r="J7" s="2457"/>
      <c r="K7" s="2457"/>
    </row>
    <row r="8" spans="1:11" ht="16.5">
      <c r="A8" s="2295" t="s">
        <v>587</v>
      </c>
      <c r="B8" s="2295">
        <f>SUM(I14:I23)</f>
        <v>0</v>
      </c>
      <c r="C8" s="2295" t="str">
        <f>IF(B8=I14,结果表!H112,ROUND(B8*10000/$B$1,0))</f>
        <v>——</v>
      </c>
      <c r="D8" s="2295" t="e">
        <f>ROUND(B8*10000/$B$2,0)</f>
        <v>#DIV/0!</v>
      </c>
      <c r="E8" s="2456"/>
      <c r="F8" s="2457"/>
      <c r="G8" s="2457"/>
      <c r="H8" s="2457"/>
      <c r="I8" s="2457"/>
      <c r="J8" s="2457"/>
      <c r="K8" s="2457"/>
    </row>
    <row r="9" spans="1:11" ht="16.5">
      <c r="A9" s="2295" t="s">
        <v>655</v>
      </c>
      <c r="B9" s="1241"/>
      <c r="C9" s="2456"/>
      <c r="D9" s="2456"/>
      <c r="E9" s="2456"/>
      <c r="F9" s="2457"/>
      <c r="G9" s="2457"/>
      <c r="H9" s="2457"/>
      <c r="I9" s="2457"/>
      <c r="J9" s="2457"/>
      <c r="K9" s="2457"/>
    </row>
    <row r="10" spans="1:11" ht="16.5">
      <c r="A10" s="2295" t="s">
        <v>654</v>
      </c>
      <c r="B10" s="2295">
        <f>IF(E10="",0,ROUND(B1*(E10*365/G10)/10000,0))</f>
        <v>0</v>
      </c>
      <c r="C10" s="2295" t="s">
        <v>3350</v>
      </c>
      <c r="D10" s="2295" t="s">
        <v>3351</v>
      </c>
      <c r="E10" s="3131"/>
      <c r="F10" s="3135" t="s">
        <v>3352</v>
      </c>
      <c r="G10" s="3132"/>
      <c r="H10" s="2457"/>
      <c r="I10" s="2457"/>
      <c r="J10" s="2457"/>
      <c r="K10" s="2457"/>
    </row>
    <row r="11" spans="1:11" ht="16.5">
      <c r="A11" s="2295" t="s">
        <v>670</v>
      </c>
      <c r="B11" s="1241"/>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8" t="s">
        <v>669</v>
      </c>
      <c r="B13" s="2299" t="s">
        <v>666</v>
      </c>
      <c r="C13" s="2299" t="s">
        <v>668</v>
      </c>
      <c r="D13" s="2299" t="s">
        <v>667</v>
      </c>
      <c r="E13" s="2295" t="s">
        <v>659</v>
      </c>
      <c r="F13" s="2295" t="s">
        <v>658</v>
      </c>
      <c r="G13" s="2299" t="s">
        <v>652</v>
      </c>
      <c r="H13" s="2299" t="s">
        <v>663</v>
      </c>
      <c r="I13" s="2299" t="s">
        <v>651</v>
      </c>
      <c r="J13" s="2457"/>
      <c r="K13" s="2457"/>
    </row>
    <row r="14" spans="1:11" ht="16.5">
      <c r="A14" s="2300" t="s">
        <v>650</v>
      </c>
      <c r="B14" s="2301">
        <f>结果表!B118</f>
        <v>67180.950000000026</v>
      </c>
      <c r="C14" s="2301"/>
      <c r="D14" s="2301">
        <f ca="1">结果表!H118</f>
        <v>170211</v>
      </c>
      <c r="E14" s="2301">
        <f ca="1">ROUND(D14*10000/B14,0)</f>
        <v>25336</v>
      </c>
      <c r="F14" s="2301" t="e">
        <f ca="1">ROUND(D14*10000/C14,0)</f>
        <v>#DIV/0!</v>
      </c>
      <c r="G14" s="2301">
        <f ca="1">D14</f>
        <v>170211</v>
      </c>
      <c r="H14" s="2301"/>
      <c r="I14" s="2301"/>
      <c r="J14" s="2457"/>
      <c r="K14" s="2457"/>
    </row>
    <row r="15" spans="1:11" ht="16.5">
      <c r="A15" s="2300" t="s">
        <v>649</v>
      </c>
      <c r="B15" s="2302"/>
      <c r="C15" s="2302"/>
      <c r="D15" s="2302"/>
      <c r="E15" s="2301" t="e">
        <f t="shared" ref="E15:E23" si="0">ROUND(D15*10000/B15,0)</f>
        <v>#DIV/0!</v>
      </c>
      <c r="F15" s="2301" t="e">
        <f t="shared" ref="F15:F23" si="1">ROUND(D15*10000/C15,0)</f>
        <v>#DIV/0!</v>
      </c>
      <c r="G15" s="1241"/>
      <c r="H15" s="1241"/>
      <c r="I15" s="2302"/>
      <c r="J15" s="2457"/>
      <c r="K15" s="2457"/>
    </row>
    <row r="16" spans="1:11" ht="16.5">
      <c r="A16" s="2300" t="s">
        <v>648</v>
      </c>
      <c r="B16" s="2302"/>
      <c r="C16" s="2302"/>
      <c r="D16" s="2302"/>
      <c r="E16" s="2301" t="e">
        <f t="shared" si="0"/>
        <v>#DIV/0!</v>
      </c>
      <c r="F16" s="2301" t="e">
        <f t="shared" si="1"/>
        <v>#DIV/0!</v>
      </c>
      <c r="G16" s="1241"/>
      <c r="H16" s="1241"/>
      <c r="I16" s="2302"/>
      <c r="J16" s="2457"/>
      <c r="K16" s="2457"/>
    </row>
    <row r="17" spans="1:11" ht="16.5">
      <c r="A17" s="2300" t="s">
        <v>647</v>
      </c>
      <c r="B17" s="2302"/>
      <c r="C17" s="2302"/>
      <c r="D17" s="2302"/>
      <c r="E17" s="2301" t="e">
        <f t="shared" si="0"/>
        <v>#DIV/0!</v>
      </c>
      <c r="F17" s="2301" t="e">
        <f t="shared" si="1"/>
        <v>#DIV/0!</v>
      </c>
      <c r="G17" s="1241"/>
      <c r="H17" s="1241"/>
      <c r="I17" s="2302"/>
      <c r="J17" s="2457"/>
      <c r="K17" s="2457"/>
    </row>
    <row r="18" spans="1:11" ht="16.5">
      <c r="A18" s="2300" t="s">
        <v>646</v>
      </c>
      <c r="B18" s="2302"/>
      <c r="C18" s="2302"/>
      <c r="D18" s="2302"/>
      <c r="E18" s="2301" t="e">
        <f t="shared" si="0"/>
        <v>#DIV/0!</v>
      </c>
      <c r="F18" s="2301" t="e">
        <f t="shared" si="1"/>
        <v>#DIV/0!</v>
      </c>
      <c r="G18" s="2302"/>
      <c r="H18" s="2302"/>
      <c r="I18" s="2302"/>
      <c r="J18" s="2457"/>
      <c r="K18" s="2457"/>
    </row>
    <row r="19" spans="1:11" ht="16.5">
      <c r="A19" s="2300" t="s">
        <v>645</v>
      </c>
      <c r="B19" s="2302"/>
      <c r="C19" s="2302"/>
      <c r="D19" s="2302"/>
      <c r="E19" s="2301" t="e">
        <f t="shared" si="0"/>
        <v>#DIV/0!</v>
      </c>
      <c r="F19" s="2301" t="e">
        <f t="shared" si="1"/>
        <v>#DIV/0!</v>
      </c>
      <c r="G19" s="2302"/>
      <c r="H19" s="2302"/>
      <c r="I19" s="2302"/>
      <c r="J19" s="2457"/>
      <c r="K19" s="2457"/>
    </row>
    <row r="20" spans="1:11" ht="16.5">
      <c r="A20" s="2300" t="s">
        <v>644</v>
      </c>
      <c r="B20" s="2302"/>
      <c r="C20" s="2302"/>
      <c r="D20" s="2302"/>
      <c r="E20" s="2301" t="e">
        <f t="shared" si="0"/>
        <v>#DIV/0!</v>
      </c>
      <c r="F20" s="2301" t="e">
        <f t="shared" si="1"/>
        <v>#DIV/0!</v>
      </c>
      <c r="G20" s="2302"/>
      <c r="H20" s="2302"/>
      <c r="I20" s="2302"/>
      <c r="J20" s="2457"/>
      <c r="K20" s="2457"/>
    </row>
    <row r="21" spans="1:11" ht="16.5">
      <c r="A21" s="2300" t="s">
        <v>643</v>
      </c>
      <c r="B21" s="2302"/>
      <c r="C21" s="2302"/>
      <c r="D21" s="2302"/>
      <c r="E21" s="2301" t="e">
        <f t="shared" si="0"/>
        <v>#DIV/0!</v>
      </c>
      <c r="F21" s="2301" t="e">
        <f t="shared" si="1"/>
        <v>#DIV/0!</v>
      </c>
      <c r="G21" s="2302"/>
      <c r="H21" s="2302"/>
      <c r="I21" s="2302"/>
      <c r="J21" s="2457"/>
      <c r="K21" s="2457"/>
    </row>
    <row r="22" spans="1:11" ht="16.5">
      <c r="A22" s="2300" t="s">
        <v>642</v>
      </c>
      <c r="B22" s="2302"/>
      <c r="C22" s="2302"/>
      <c r="D22" s="2302"/>
      <c r="E22" s="2301" t="e">
        <f t="shared" si="0"/>
        <v>#DIV/0!</v>
      </c>
      <c r="F22" s="2301" t="e">
        <f t="shared" si="1"/>
        <v>#DIV/0!</v>
      </c>
      <c r="G22" s="2302"/>
      <c r="H22" s="2302"/>
      <c r="I22" s="2302"/>
      <c r="J22" s="2457"/>
      <c r="K22" s="2457"/>
    </row>
    <row r="23" spans="1:11" ht="16.5">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34" t="str">
        <f>项目基本情况!S2</f>
        <v>北京经济技术开发区荣华中路19号1号楼房地产</v>
      </c>
      <c r="B2" s="3335"/>
      <c r="C2" s="3335"/>
      <c r="D2" s="3335"/>
      <c r="E2" s="3335"/>
      <c r="F2" s="3335"/>
      <c r="G2" s="3335"/>
      <c r="H2" s="3335"/>
      <c r="I2" s="3336"/>
    </row>
    <row r="3" spans="1:12" ht="12.75">
      <c r="A3" s="3338" t="s">
        <v>1264</v>
      </c>
      <c r="B3" s="3339"/>
      <c r="C3" s="3339"/>
      <c r="D3" s="3339"/>
      <c r="E3" s="3339"/>
      <c r="F3" s="3339"/>
      <c r="G3" s="3339"/>
      <c r="H3" s="3339"/>
      <c r="I3" s="3339"/>
    </row>
    <row r="4" spans="1:12" ht="14.25">
      <c r="A4" s="1621" t="s">
        <v>1265</v>
      </c>
      <c r="B4" s="1622" t="s">
        <v>1266</v>
      </c>
      <c r="C4" s="1623" t="s">
        <v>3424</v>
      </c>
      <c r="D4" s="1623" t="s">
        <v>3425</v>
      </c>
      <c r="E4" s="3343" t="s">
        <v>1267</v>
      </c>
      <c r="F4" s="3344"/>
      <c r="G4" s="3344"/>
      <c r="H4" s="3344"/>
      <c r="I4" s="334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1268</v>
      </c>
      <c r="B5" s="3337">
        <v>25</v>
      </c>
      <c r="C5" s="3340"/>
      <c r="D5" s="3328"/>
      <c r="E5" s="121" t="s">
        <v>1269</v>
      </c>
      <c r="F5" s="1624"/>
      <c r="G5" s="1624"/>
      <c r="H5" s="1624"/>
      <c r="I5" s="1278"/>
    </row>
    <row r="6" spans="1:12" ht="12.75">
      <c r="A6" s="3282"/>
      <c r="B6" s="3337"/>
      <c r="C6" s="3342"/>
      <c r="D6" s="3328"/>
      <c r="E6" s="121" t="s">
        <v>1270</v>
      </c>
      <c r="F6" s="1624"/>
      <c r="G6" s="1624"/>
      <c r="H6" s="1624"/>
      <c r="I6" s="1278"/>
    </row>
    <row r="7" spans="1:12" ht="12.75">
      <c r="A7" s="3282"/>
      <c r="B7" s="3337"/>
      <c r="C7" s="3341"/>
      <c r="D7" s="3328"/>
      <c r="E7" s="121" t="s">
        <v>1271</v>
      </c>
      <c r="F7" s="1624"/>
      <c r="G7" s="1624"/>
      <c r="H7" s="1624"/>
      <c r="I7" s="1278"/>
    </row>
    <row r="8" spans="1:12" ht="12.75">
      <c r="A8" s="3282" t="s">
        <v>1272</v>
      </c>
      <c r="B8" s="3337">
        <v>15</v>
      </c>
      <c r="C8" s="3340"/>
      <c r="D8" s="3328"/>
      <c r="E8" s="121" t="s">
        <v>1273</v>
      </c>
      <c r="F8" s="1624"/>
      <c r="G8" s="1624"/>
      <c r="H8" s="1624"/>
      <c r="I8" s="1278"/>
    </row>
    <row r="9" spans="1:12" ht="12.75">
      <c r="A9" s="3282"/>
      <c r="B9" s="3337"/>
      <c r="C9" s="3341"/>
      <c r="D9" s="3328"/>
      <c r="E9" s="121" t="s">
        <v>1274</v>
      </c>
      <c r="F9" s="1624"/>
      <c r="G9" s="1624"/>
      <c r="H9" s="1624"/>
      <c r="I9" s="1278"/>
    </row>
    <row r="10" spans="1:12" ht="12.75">
      <c r="A10" s="3282" t="s">
        <v>1275</v>
      </c>
      <c r="B10" s="3337">
        <v>15</v>
      </c>
      <c r="C10" s="3340"/>
      <c r="D10" s="3328"/>
      <c r="E10" s="121" t="s">
        <v>1276</v>
      </c>
      <c r="F10" s="1624"/>
      <c r="G10" s="1624"/>
      <c r="H10" s="1624"/>
      <c r="I10" s="1278"/>
    </row>
    <row r="11" spans="1:12" ht="12.75">
      <c r="A11" s="3282"/>
      <c r="B11" s="3337"/>
      <c r="C11" s="3341"/>
      <c r="D11" s="3328"/>
      <c r="E11" s="121" t="s">
        <v>1277</v>
      </c>
      <c r="F11" s="1624"/>
      <c r="G11" s="1624"/>
      <c r="H11" s="1624"/>
      <c r="I11" s="1278"/>
    </row>
    <row r="12" spans="1:12" ht="12.75">
      <c r="A12" s="3282" t="s">
        <v>1278</v>
      </c>
      <c r="B12" s="3337">
        <v>15</v>
      </c>
      <c r="C12" s="3340"/>
      <c r="D12" s="3328"/>
      <c r="E12" s="121" t="s">
        <v>1279</v>
      </c>
      <c r="F12" s="1624"/>
      <c r="G12" s="1624"/>
      <c r="H12" s="1624"/>
      <c r="I12" s="1278"/>
    </row>
    <row r="13" spans="1:12" ht="12.75">
      <c r="A13" s="3282"/>
      <c r="B13" s="3337"/>
      <c r="C13" s="3341"/>
      <c r="D13" s="3328"/>
      <c r="E13" s="121" t="s">
        <v>1280</v>
      </c>
      <c r="F13" s="1624"/>
      <c r="G13" s="1624"/>
      <c r="H13" s="1624"/>
      <c r="I13" s="1278"/>
    </row>
    <row r="14" spans="1:12" ht="12.75">
      <c r="A14" s="3282" t="s">
        <v>1281</v>
      </c>
      <c r="B14" s="3337">
        <v>30</v>
      </c>
      <c r="C14" s="3340">
        <v>4</v>
      </c>
      <c r="D14" s="3328">
        <v>6</v>
      </c>
      <c r="E14" s="121" t="s">
        <v>1282</v>
      </c>
      <c r="F14" s="1624"/>
      <c r="G14" s="1624"/>
      <c r="H14" s="1624"/>
      <c r="I14" s="1278"/>
    </row>
    <row r="15" spans="1:12" ht="12.75">
      <c r="A15" s="3282"/>
      <c r="B15" s="3337"/>
      <c r="C15" s="3342"/>
      <c r="D15" s="3328"/>
      <c r="E15" s="121" t="s">
        <v>1283</v>
      </c>
      <c r="F15" s="1624"/>
      <c r="G15" s="1624"/>
      <c r="H15" s="1624"/>
      <c r="I15" s="1278"/>
    </row>
    <row r="16" spans="1:12" ht="12.75">
      <c r="A16" s="3282"/>
      <c r="B16" s="3337"/>
      <c r="C16" s="3341"/>
      <c r="D16" s="3328"/>
      <c r="E16" s="121" t="s">
        <v>1284</v>
      </c>
      <c r="F16" s="1624"/>
      <c r="G16" s="1624"/>
      <c r="H16" s="1624"/>
      <c r="I16" s="1278"/>
    </row>
    <row r="17" spans="1:36" ht="15">
      <c r="A17" s="1625" t="s">
        <v>1285</v>
      </c>
      <c r="B17" s="54"/>
      <c r="C17" s="122">
        <f>SUM(C5:C16)</f>
        <v>4</v>
      </c>
      <c r="D17" s="122">
        <f>SUM(D5:D16)</f>
        <v>6</v>
      </c>
      <c r="E17" s="119"/>
      <c r="F17" s="119"/>
      <c r="G17" s="119"/>
      <c r="H17" s="119"/>
      <c r="I17" s="119"/>
      <c r="K17" s="292"/>
      <c r="L17" s="292" t="s">
        <v>1286</v>
      </c>
      <c r="M17" s="292" t="s">
        <v>1287</v>
      </c>
    </row>
    <row r="18" spans="1:36" ht="31.9" customHeight="1" thickBot="1">
      <c r="A18" s="1626" t="s">
        <v>1288</v>
      </c>
      <c r="B18" s="1539"/>
      <c r="C18" s="123">
        <f>ROUND(C17/SUM(C17:D17),2)</f>
        <v>0.4</v>
      </c>
      <c r="D18" s="123">
        <f>1-C18</f>
        <v>0.6</v>
      </c>
      <c r="E18" s="3359" t="s">
        <v>2131</v>
      </c>
      <c r="F18" s="3360"/>
      <c r="G18" s="3360"/>
      <c r="H18" s="3360"/>
      <c r="I18" s="3360"/>
      <c r="K18" s="292" t="s">
        <v>1289</v>
      </c>
      <c r="L18" s="292">
        <f>IF(C1="",'数据-汇总表'!E3,SUMIF(项目类型,C1,'数据-汇总表'!E17:E26)+SUMIF(项目类型,C1,'数据-汇总表'!I17:I26))</f>
        <v>67180.950000000026</v>
      </c>
      <c r="M18" s="292">
        <f>IF(C1="",'数据-汇总表'!E3,SUMIF(项目类型,C1,'数据-汇总表'!E17:E26))</f>
        <v>67180.950000000026</v>
      </c>
    </row>
    <row r="19" spans="1:36" ht="15">
      <c r="A19" s="1627" t="s">
        <v>1290</v>
      </c>
      <c r="B19" s="1628" t="s">
        <v>1291</v>
      </c>
      <c r="C19" s="124">
        <f ca="1">SUMIF(INDIRECT("'"&amp;C4&amp;"'"&amp;"!A:A"),结果表!B19,INDIRECT("'"&amp;C4&amp;"'"&amp;"!B:B"))</f>
        <v>137535</v>
      </c>
      <c r="D19" s="125">
        <f ca="1">SUMIF(INDIRECT("'"&amp;D4&amp;"'"&amp;"!A:A"),结果表!B19,INDIRECT("'"&amp;D4&amp;"'"&amp;"!B:B"))</f>
        <v>191995</v>
      </c>
      <c r="E19" s="1627" t="s">
        <v>1292</v>
      </c>
      <c r="F19" s="1628" t="s">
        <v>1291</v>
      </c>
      <c r="G19" s="126">
        <f ca="1">ROUND(C19*$C$18+D19*$D$18,0)</f>
        <v>170211</v>
      </c>
      <c r="H19" s="1629" t="s">
        <v>1293</v>
      </c>
      <c r="I19" s="119"/>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20472</v>
      </c>
      <c r="D20" s="128">
        <f ca="1">SUMIF(INDIRECT("'"&amp;D4&amp;"'"&amp;"!A:A"),结果表!B20,INDIRECT("'"&amp;D4&amp;"'"&amp;"!B:B"))</f>
        <v>28579</v>
      </c>
      <c r="E20" s="1630"/>
      <c r="F20" s="43" t="s">
        <v>1295</v>
      </c>
      <c r="G20" s="129">
        <f ca="1">ROUND(C20*$C$18+D20*$D$18,0)</f>
        <v>25336</v>
      </c>
      <c r="H20" s="757" t="s">
        <v>1296</v>
      </c>
      <c r="I20" s="119"/>
    </row>
    <row r="21" spans="1:36" ht="15" customHeight="1" thickBot="1">
      <c r="A21" s="447"/>
      <c r="B21" s="92" t="s">
        <v>1297</v>
      </c>
      <c r="C21" s="676" t="e">
        <f ca="1">ROUND(C19*10000/L19,0)</f>
        <v>#DIV/0!</v>
      </c>
      <c r="D21" s="677" t="e">
        <f ca="1">ROUND(D19*10000/L19,0)</f>
        <v>#DIV/0!</v>
      </c>
      <c r="E21" s="447"/>
      <c r="F21" s="92" t="s">
        <v>1297</v>
      </c>
      <c r="G21" s="130" t="e">
        <f ca="1">ROUND(G19*10000/L19,0)</f>
        <v>#DIV/0!</v>
      </c>
      <c r="H21" s="1631" t="s">
        <v>1296</v>
      </c>
      <c r="I21" s="119"/>
    </row>
    <row r="22" spans="1:36" ht="15" thickBot="1">
      <c r="A22" s="1561" t="s">
        <v>1298</v>
      </c>
      <c r="B22" s="1632"/>
      <c r="C22" s="1633"/>
      <c r="D22" s="678">
        <f ca="1">IF(C19&lt;D19,D19/C19-1,C19/D19-1)</f>
        <v>0.39597193441669387</v>
      </c>
      <c r="E22" s="119"/>
      <c r="F22" s="119"/>
      <c r="G22" s="119"/>
      <c r="H22" s="119"/>
      <c r="I22" s="119"/>
    </row>
    <row r="23" spans="1:36" ht="13.5" thickBot="1">
      <c r="A23" s="644"/>
      <c r="B23" s="644"/>
      <c r="C23" s="644"/>
      <c r="D23" s="644"/>
      <c r="E23" s="119"/>
      <c r="F23" s="119"/>
      <c r="G23" s="119"/>
      <c r="H23" s="119"/>
      <c r="I23" s="119"/>
    </row>
    <row r="24" spans="1:36" ht="14.25">
      <c r="A24" s="3352" t="s">
        <v>1299</v>
      </c>
      <c r="B24" s="1628" t="s">
        <v>1291</v>
      </c>
      <c r="C24" s="126">
        <f>IF(B30=0,0,D30)</f>
        <v>0</v>
      </c>
      <c r="D24" s="1634"/>
      <c r="E24" s="119"/>
      <c r="F24" s="119"/>
      <c r="G24" s="119"/>
      <c r="H24" s="119"/>
      <c r="I24" s="119"/>
    </row>
    <row r="25" spans="1:36" ht="14.25">
      <c r="A25" s="3353"/>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5"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4">
        <f ca="1">IF(D32="总价",G19-C24,G20-C25)</f>
        <v>170211</v>
      </c>
      <c r="D32" s="1638" t="s">
        <v>3427</v>
      </c>
      <c r="E32" s="119"/>
      <c r="F32" s="119"/>
      <c r="G32" s="119"/>
      <c r="H32" s="119"/>
      <c r="I32" s="119"/>
    </row>
    <row r="33" spans="1:15" ht="15">
      <c r="A33" s="737" t="s">
        <v>1306</v>
      </c>
      <c r="B33" s="121"/>
      <c r="C33" s="1639" t="s">
        <v>3426</v>
      </c>
      <c r="D33" s="1640" t="s">
        <v>3424</v>
      </c>
      <c r="E33" s="1641" t="s">
        <v>1307</v>
      </c>
      <c r="F33" s="1642" t="str">
        <f>IF(D32="楼面单价","取值（单价）","取值（总价）")</f>
        <v>取值（总价）</v>
      </c>
      <c r="G33" s="119"/>
      <c r="H33" s="119"/>
      <c r="I33" s="119"/>
    </row>
    <row r="34" spans="1:15" ht="15">
      <c r="A34" s="1643"/>
      <c r="B34" s="1644" t="s">
        <v>1308</v>
      </c>
      <c r="C34" s="138">
        <f ca="1">IF(C33="自定义",F34,C32-C35)</f>
        <v>101786</v>
      </c>
      <c r="D34" s="805">
        <f ca="1">IF(C33="自定义",ROUND(C34/C32,3),IF(C33="收益比率",SUMIF(INDIRECT("'"&amp;D33&amp;"'"&amp;"!b:b"),"土地收益比率",INDIRECT("'"&amp;D33&amp;"'"&amp;"!c:c")),SUMIF(INDIRECT("'"&amp;D33&amp;"'"&amp;"!b:b"),"土地成本比率",INDIRECT("'"&amp;D33&amp;"'"&amp;"!c:c"))))</f>
        <v>0.59799999999999998</v>
      </c>
      <c r="E34" s="1645" t="s">
        <v>1309</v>
      </c>
      <c r="F34" s="1240"/>
      <c r="G34" s="119"/>
      <c r="H34" s="119"/>
      <c r="I34" s="119"/>
    </row>
    <row r="35" spans="1:15" ht="15.75" thickBot="1">
      <c r="A35" s="1646"/>
      <c r="B35" s="1647" t="s">
        <v>1310</v>
      </c>
      <c r="C35" s="1087">
        <f ca="1">IF(C33="自定义",F35,ROUND(C32*D35,0))</f>
        <v>68425</v>
      </c>
      <c r="D35" s="1088">
        <f ca="1">IF(C33="自定义",ROUND(C35/C32,3),IF(C33="收益比率",SUMIF(INDIRECT("'"&amp;D33&amp;"'"&amp;"!b:b"),"建筑物收益比率",INDIRECT("'"&amp;D33&amp;"'"&amp;"!c:c")),SUMIF(INDIRECT("'"&amp;D33&amp;"'"&amp;"!b:b"),"建筑物成本比率",INDIRECT("'"&amp;D33&amp;"'"&amp;"!c:c"))))</f>
        <v>0.40200000000000002</v>
      </c>
      <c r="E35" s="1648" t="s">
        <v>1311</v>
      </c>
      <c r="F35" s="144"/>
      <c r="G35" s="119"/>
      <c r="H35" s="119"/>
      <c r="I35" s="119"/>
    </row>
    <row r="36" spans="1:15" ht="15.75" thickBot="1">
      <c r="A36" s="3329" t="s">
        <v>1312</v>
      </c>
      <c r="B36" s="1649" t="s">
        <v>1313</v>
      </c>
      <c r="C36" s="135"/>
      <c r="D36" s="1650"/>
      <c r="E36" s="1564"/>
      <c r="F36" s="1651"/>
      <c r="G36" s="119"/>
      <c r="H36" s="119"/>
      <c r="I36" s="119"/>
    </row>
    <row r="37" spans="1:15" ht="15.75" thickBot="1">
      <c r="A37" s="3330"/>
      <c r="B37" s="1552" t="s">
        <v>1314</v>
      </c>
      <c r="C37" s="137"/>
      <c r="D37" s="1068"/>
      <c r="E37" s="1068"/>
      <c r="F37" s="1651"/>
      <c r="G37" s="119"/>
      <c r="H37" s="119"/>
      <c r="I37" s="119"/>
    </row>
    <row r="38" spans="1:15" ht="15.75" thickBot="1">
      <c r="A38" s="3331"/>
      <c r="B38" s="1652" t="s">
        <v>1315</v>
      </c>
      <c r="C38" s="639"/>
      <c r="D38" s="1653" t="s">
        <v>1316</v>
      </c>
      <c r="E38" s="1068"/>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49" t="s">
        <v>1326</v>
      </c>
      <c r="B45" s="3350"/>
      <c r="C45" s="3351"/>
      <c r="D45" s="145">
        <f ca="1">ROUND(H101*F45,0)</f>
        <v>170211</v>
      </c>
      <c r="E45" s="146" t="s">
        <v>1327</v>
      </c>
      <c r="F45" s="147">
        <v>1</v>
      </c>
      <c r="G45" s="148" t="s">
        <v>1328</v>
      </c>
      <c r="H45" s="119"/>
      <c r="I45" s="119"/>
      <c r="J45" s="3269" t="s">
        <v>1329</v>
      </c>
      <c r="K45" s="3269"/>
      <c r="L45" s="3269"/>
      <c r="M45" s="3269"/>
      <c r="N45" s="3269"/>
      <c r="O45" s="3269"/>
    </row>
    <row r="46" spans="1:15" ht="14.25" customHeight="1">
      <c r="A46" s="3346" t="s">
        <v>1330</v>
      </c>
      <c r="B46" s="3347"/>
      <c r="C46" s="3347"/>
      <c r="D46" s="3347"/>
      <c r="E46" s="3347"/>
      <c r="F46" s="3347"/>
      <c r="G46" s="3348"/>
      <c r="H46" s="1665"/>
      <c r="I46" s="149"/>
      <c r="J46" s="2305">
        <v>1</v>
      </c>
      <c r="K46" s="3270" t="s">
        <v>1331</v>
      </c>
      <c r="L46" s="3270"/>
      <c r="M46" s="3271"/>
      <c r="N46" s="3271"/>
      <c r="O46" s="3271"/>
    </row>
    <row r="47" spans="1:15" ht="12" customHeight="1">
      <c r="A47" s="150" t="s">
        <v>1332</v>
      </c>
      <c r="B47" s="151"/>
      <c r="C47" s="152"/>
      <c r="D47" s="1021" t="s">
        <v>1333</v>
      </c>
      <c r="E47" s="292" t="s">
        <v>1334</v>
      </c>
      <c r="F47" s="153" t="s">
        <v>1335</v>
      </c>
      <c r="G47" s="2328" t="s">
        <v>1336</v>
      </c>
      <c r="H47" s="2329"/>
      <c r="I47" s="149"/>
      <c r="J47" s="2305">
        <v>2</v>
      </c>
      <c r="K47" s="3270" t="s">
        <v>1337</v>
      </c>
      <c r="L47" s="3270"/>
      <c r="M47" s="3272">
        <f>'数据-取费表'!B2</f>
        <v>45735</v>
      </c>
      <c r="N47" s="3272"/>
      <c r="O47" s="3272"/>
    </row>
    <row r="48" spans="1:15" ht="25.5">
      <c r="A48" s="3332" t="s">
        <v>1338</v>
      </c>
      <c r="B48" s="3333"/>
      <c r="C48" s="3333"/>
      <c r="D48" s="12" t="b">
        <f>IF(H48="情况1",0,IF(H48="情况2",D52,IF(H48="情况3",D53,IF(H48="情况4",D54))))</f>
        <v>0</v>
      </c>
      <c r="E48" s="1253" t="str">
        <f>IF(H48="情况4","(销售额-原购置价)×税（费）率","销售额×税（费）率")</f>
        <v>销售额×税（费）率</v>
      </c>
      <c r="F48" s="2330">
        <f>IF(H48="情况1","免征",'数据-取费表'!B41)</f>
        <v>5.6000000000000001E-2</v>
      </c>
      <c r="G48" s="2331" t="s">
        <v>1339</v>
      </c>
      <c r="H48" s="2332"/>
      <c r="I48" s="1665"/>
      <c r="J48" s="2305">
        <v>3</v>
      </c>
      <c r="K48" s="3270" t="s">
        <v>1340</v>
      </c>
      <c r="L48" s="3270"/>
      <c r="M48" s="3273">
        <f ca="1">H101</f>
        <v>170211</v>
      </c>
      <c r="N48" s="3273"/>
      <c r="O48" s="3273"/>
    </row>
    <row r="49" spans="1:35" ht="25.5" customHeight="1">
      <c r="A49" s="2149" t="s">
        <v>1341</v>
      </c>
      <c r="B49" s="3318" t="s">
        <v>1342</v>
      </c>
      <c r="C49" s="3318"/>
      <c r="D49" s="1475">
        <v>0</v>
      </c>
      <c r="E49" s="314" t="s">
        <v>1343</v>
      </c>
      <c r="F49" s="2229" t="s">
        <v>28</v>
      </c>
      <c r="G49" s="3301"/>
      <c r="H49" s="2131" t="s">
        <v>2134</v>
      </c>
      <c r="I49" s="2132"/>
      <c r="J49" s="2305">
        <v>4</v>
      </c>
      <c r="K49" s="3270" t="str">
        <f>IF(项目基本情况!E8="房地产抵押价值","房地产抵押价值","抵押担保权已注销时的房地产抵押价值")</f>
        <v>抵押担保权已注销时的房地产抵押价值</v>
      </c>
      <c r="L49" s="3270"/>
      <c r="M49" s="3273" t="str">
        <f>IF(项目基本情况!E8="房地产抵押价值",H107,H109)</f>
        <v>——</v>
      </c>
      <c r="N49" s="3273"/>
      <c r="O49" s="3273"/>
    </row>
    <row r="50" spans="1:35" ht="25.5" customHeight="1">
      <c r="A50" s="2333"/>
      <c r="B50" s="3318" t="s">
        <v>1344</v>
      </c>
      <c r="C50" s="3318"/>
      <c r="D50" s="2186"/>
      <c r="E50" s="321"/>
      <c r="F50" s="2229"/>
      <c r="G50" s="3302"/>
      <c r="H50" s="2133" t="s">
        <v>2135</v>
      </c>
      <c r="I50" s="2132"/>
      <c r="J50" s="3269" t="s">
        <v>1345</v>
      </c>
      <c r="K50" s="3269"/>
      <c r="L50" s="3269"/>
      <c r="M50" s="3269"/>
      <c r="N50" s="3269"/>
      <c r="O50" s="3269"/>
    </row>
    <row r="51" spans="1:35" ht="20.45" customHeight="1">
      <c r="A51" s="2334"/>
      <c r="B51" s="3318" t="s">
        <v>1346</v>
      </c>
      <c r="C51" s="3318"/>
      <c r="D51" s="1021"/>
      <c r="E51" s="317"/>
      <c r="F51" s="2229"/>
      <c r="G51" s="3303"/>
      <c r="H51" s="2133" t="s">
        <v>2136</v>
      </c>
      <c r="I51" s="2132"/>
      <c r="J51" s="2306" t="s">
        <v>1347</v>
      </c>
      <c r="K51" s="3270" t="s">
        <v>1348</v>
      </c>
      <c r="L51" s="3270"/>
      <c r="M51" s="2306" t="s">
        <v>1349</v>
      </c>
      <c r="N51" s="2306" t="s">
        <v>1350</v>
      </c>
      <c r="O51" s="2306" t="s">
        <v>1351</v>
      </c>
    </row>
    <row r="52" spans="1:35" ht="24" customHeight="1">
      <c r="A52" s="2150" t="s">
        <v>1352</v>
      </c>
      <c r="B52" s="3318" t="s">
        <v>1353</v>
      </c>
      <c r="C52" s="3318"/>
      <c r="D52" s="1021">
        <f ca="1">ROUND(D45*'数据-取费表'!B41/(1+'数据-取费表'!C42),0)</f>
        <v>9078</v>
      </c>
      <c r="E52" s="1253" t="s">
        <v>1354</v>
      </c>
      <c r="F52" s="2335">
        <f>'数据-取费表'!B41</f>
        <v>5.6000000000000001E-2</v>
      </c>
      <c r="G52" s="2336"/>
      <c r="H52" s="2326"/>
      <c r="I52" s="1666"/>
      <c r="J52" s="2305">
        <v>1</v>
      </c>
      <c r="K52" s="3295" t="s">
        <v>1355</v>
      </c>
      <c r="L52" s="3295"/>
      <c r="M52" s="2307" t="b">
        <f>D48</f>
        <v>0</v>
      </c>
      <c r="N52" s="2305" t="str">
        <f>E48</f>
        <v>销售额×税（费）率</v>
      </c>
      <c r="O52" s="2308">
        <f>F48</f>
        <v>5.6000000000000001E-2</v>
      </c>
    </row>
    <row r="53" spans="1:35" ht="12" customHeight="1">
      <c r="A53" s="2150" t="s">
        <v>1356</v>
      </c>
      <c r="B53" s="3319" t="s">
        <v>2287</v>
      </c>
      <c r="C53" s="3320"/>
      <c r="D53" s="1021">
        <f ca="1">ROUND(D45*'数据-取费表'!B41/(1+'数据-取费表'!C42),0)</f>
        <v>9078</v>
      </c>
      <c r="E53" s="1253" t="s">
        <v>1354</v>
      </c>
      <c r="F53" s="2335">
        <f>'数据-取费表'!B41</f>
        <v>5.6000000000000001E-2</v>
      </c>
      <c r="G53" s="2336"/>
      <c r="H53" s="2326"/>
      <c r="I53" s="1666"/>
      <c r="J53" s="2305">
        <v>2</v>
      </c>
      <c r="K53" s="3295" t="s">
        <v>1357</v>
      </c>
      <c r="L53" s="3295"/>
      <c r="M53" s="2307">
        <f t="shared" ref="M53:O54" ca="1" si="0">D55</f>
        <v>85</v>
      </c>
      <c r="N53" s="2305" t="str">
        <f t="shared" si="0"/>
        <v>销售额×税（费）率</v>
      </c>
      <c r="O53" s="2308" t="str">
        <f t="shared" si="0"/>
        <v>免征</v>
      </c>
    </row>
    <row r="54" spans="1:35" ht="12" customHeight="1">
      <c r="A54" s="2150" t="s">
        <v>1358</v>
      </c>
      <c r="B54" s="3319" t="s">
        <v>2288</v>
      </c>
      <c r="C54" s="3320"/>
      <c r="D54" s="1021">
        <f ca="1">C68</f>
        <v>9078</v>
      </c>
      <c r="E54" s="317" t="s">
        <v>1359</v>
      </c>
      <c r="F54" s="2335">
        <f>'数据-取费表'!B41</f>
        <v>5.6000000000000001E-2</v>
      </c>
      <c r="G54" s="2336"/>
      <c r="H54" s="2337"/>
      <c r="I54" s="1666"/>
      <c r="J54" s="2305">
        <v>3</v>
      </c>
      <c r="K54" s="3295" t="s">
        <v>1360</v>
      </c>
      <c r="L54" s="3295"/>
      <c r="M54" s="2307">
        <f t="shared" ca="1" si="0"/>
        <v>96339</v>
      </c>
      <c r="N54" s="2305" t="str">
        <f t="shared" si="0"/>
        <v>增值额×税（费）率</v>
      </c>
      <c r="O54" s="2309" t="str">
        <f t="shared" si="0"/>
        <v>免征</v>
      </c>
    </row>
    <row r="55" spans="1:35" ht="24" customHeight="1">
      <c r="A55" s="3355" t="s">
        <v>1361</v>
      </c>
      <c r="B55" s="3333"/>
      <c r="C55" s="3333"/>
      <c r="D55" s="12">
        <f ca="1">IF(H55="个人住宅",0,ROUND(D45*I55,0))</f>
        <v>85</v>
      </c>
      <c r="E55" s="1253" t="s">
        <v>1362</v>
      </c>
      <c r="F55" s="2335" t="str">
        <f>IF(H55="正常",I55,"免征")</f>
        <v>免征</v>
      </c>
      <c r="G55" s="2336"/>
      <c r="H55" s="2332"/>
      <c r="I55" s="155">
        <f>'数据-取费表'!B49</f>
        <v>5.0000000000000001E-4</v>
      </c>
      <c r="J55" s="2305">
        <f>IF(H59="非个人房产","",4)</f>
        <v>4</v>
      </c>
      <c r="K55" s="3295" t="str">
        <f>IF(H59="非个人房产","——","个人所得税")</f>
        <v>个人所得税</v>
      </c>
      <c r="L55" s="3295"/>
      <c r="M55" s="2310">
        <f ca="1">D59</f>
        <v>1621</v>
      </c>
      <c r="N55" s="1880" t="str">
        <f>E59</f>
        <v>差额计税</v>
      </c>
      <c r="O55" s="2311">
        <f>F59</f>
        <v>0.01</v>
      </c>
    </row>
    <row r="56" spans="1:35" ht="24.75">
      <c r="A56" s="3355" t="s">
        <v>1363</v>
      </c>
      <c r="B56" s="3333"/>
      <c r="C56" s="3333"/>
      <c r="D56" s="12">
        <f ca="1">IF(H56="个人住宅",D57,D58)</f>
        <v>96339</v>
      </c>
      <c r="E56" s="1253" t="s">
        <v>1364</v>
      </c>
      <c r="F56" s="2335" t="str">
        <f>IF(H56="正常",F58,"免征")</f>
        <v>免征</v>
      </c>
      <c r="G56" s="2338" t="s">
        <v>1365</v>
      </c>
      <c r="H56" s="2339"/>
      <c r="I56" s="1667"/>
      <c r="J56" s="2305" t="str">
        <f>IF(项目基本情况!K6="上海银行",IF(J55="",4,J55+1),"")</f>
        <v/>
      </c>
      <c r="K56" s="3276" t="str">
        <f>IF(项目基本情况!K6="上海银行","其他处置费用","")</f>
        <v/>
      </c>
      <c r="L56" s="3277"/>
      <c r="M56" s="2307" t="str">
        <f>IF(项目基本情况!K6="上海银行",M69,"")</f>
        <v/>
      </c>
      <c r="N56" s="3276" t="str">
        <f>IF(项目基本情况!K6="上海银行","包含处置中涉及的律师、诉讼、拍卖、评估等费用","")</f>
        <v/>
      </c>
      <c r="O56" s="3279"/>
    </row>
    <row r="57" spans="1:35" ht="12.75">
      <c r="A57" s="2150" t="s">
        <v>1341</v>
      </c>
      <c r="B57" s="3319" t="s">
        <v>1366</v>
      </c>
      <c r="C57" s="3320"/>
      <c r="D57" s="1475">
        <v>0</v>
      </c>
      <c r="E57" s="314" t="s">
        <v>1343</v>
      </c>
      <c r="F57" s="292"/>
      <c r="G57" s="2336"/>
      <c r="H57" s="2340"/>
      <c r="I57" s="1667"/>
      <c r="J57" s="3295">
        <f>IF(AND(J55="",J56=""),4,IF(项目基本情况!K6="上海银行",结果表!J56+1,结果表!J55+1))</f>
        <v>5</v>
      </c>
      <c r="K57" s="3295" t="s">
        <v>1367</v>
      </c>
      <c r="L57" s="2312" t="s">
        <v>1368</v>
      </c>
      <c r="M57" s="2313"/>
      <c r="N57" s="2314">
        <f ca="1">SUMIF(M52:M56,"&lt;9e307")</f>
        <v>98045</v>
      </c>
      <c r="O57" s="2315"/>
      <c r="P57" s="2459" t="e">
        <f ca="1">N57/M49</f>
        <v>#VALUE!</v>
      </c>
    </row>
    <row r="58" spans="1:35" ht="24.75">
      <c r="A58" s="2150" t="s">
        <v>1352</v>
      </c>
      <c r="B58" s="3319" t="s">
        <v>1369</v>
      </c>
      <c r="C58" s="3318"/>
      <c r="D58" s="12">
        <f ca="1">IF(H58="转让取得",C81,C97)</f>
        <v>96339</v>
      </c>
      <c r="E58" s="1253" t="s">
        <v>1364</v>
      </c>
      <c r="F58" s="292" t="s">
        <v>28</v>
      </c>
      <c r="G58" s="2336"/>
      <c r="H58" s="2339"/>
      <c r="I58" s="1667"/>
      <c r="J58" s="3295"/>
      <c r="K58" s="3295"/>
      <c r="L58" s="2312" t="s">
        <v>1370</v>
      </c>
      <c r="M58" s="2316"/>
      <c r="N58" s="2317" t="str">
        <f ca="1">NUMBERSTRING(INT(N57*10000),2)&amp;"元整"</f>
        <v>玖亿捌仟零肆拾伍万元整</v>
      </c>
      <c r="O58" s="2318"/>
    </row>
    <row r="59" spans="1:35" ht="24.75" thickBot="1">
      <c r="A59" s="3299" t="s">
        <v>1371</v>
      </c>
      <c r="B59" s="3300"/>
      <c r="C59" s="3300"/>
      <c r="D59" s="2341">
        <f ca="1">IF(H59="非个人房产","——",IF(H59="个人住宅（满五唯一有凭证）",0,IF(H59="个人其他（无凭证）",ROUND(D45*F59,0),ROUND(C67*F59,0))))</f>
        <v>1621</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5"/>
      <c r="I59" s="2134" t="s">
        <v>2137</v>
      </c>
      <c r="J59" s="3297">
        <f>J57+1</f>
        <v>6</v>
      </c>
      <c r="K59" s="3295" t="s">
        <v>1372</v>
      </c>
      <c r="L59" s="2305" t="s">
        <v>1368</v>
      </c>
      <c r="M59" s="2319"/>
      <c r="N59" s="2320" t="e">
        <f ca="1">M49-N57</f>
        <v>#VALUE!</v>
      </c>
      <c r="O59" s="2321"/>
    </row>
    <row r="60" spans="1:35" ht="12" customHeight="1">
      <c r="A60" s="1668"/>
      <c r="B60" s="644"/>
      <c r="C60" s="644"/>
      <c r="D60" s="644"/>
      <c r="E60" s="1463"/>
      <c r="F60" s="1667"/>
      <c r="G60" s="1667"/>
      <c r="H60" s="149"/>
      <c r="I60" s="119"/>
      <c r="J60" s="3298"/>
      <c r="K60" s="3295"/>
      <c r="L60" s="2312" t="s">
        <v>1370</v>
      </c>
      <c r="M60" s="2316"/>
      <c r="N60" s="2317" t="e">
        <f ca="1">NUMBERSTRING(INT(N59*10000),2)&amp;"元整"</f>
        <v>#VALUE!</v>
      </c>
      <c r="O60" s="2318"/>
    </row>
    <row r="61" spans="1:35" ht="13.5" thickBot="1">
      <c r="A61" s="3354" t="s">
        <v>1373</v>
      </c>
      <c r="B61" s="3354"/>
      <c r="C61" s="3354"/>
      <c r="D61" s="3354"/>
      <c r="E61" s="3354"/>
      <c r="F61" s="1667"/>
      <c r="G61" s="1667"/>
      <c r="H61" s="149"/>
      <c r="I61" s="119"/>
      <c r="J61" s="2305">
        <f>J59+1</f>
        <v>7</v>
      </c>
      <c r="K61" s="3295" t="s">
        <v>1374</v>
      </c>
      <c r="L61" s="3295"/>
      <c r="M61" s="2322"/>
      <c r="N61" s="2323" t="e">
        <f ca="1">ROUND(N59*10000/'数据-汇总表'!E3,0)</f>
        <v>#VALUE!</v>
      </c>
      <c r="O61" s="2324"/>
    </row>
    <row r="62" spans="1:35" ht="12.75">
      <c r="A62" s="3314" t="s">
        <v>1375</v>
      </c>
      <c r="B62" s="3315"/>
      <c r="C62" s="1862"/>
      <c r="D62" s="1862" t="s">
        <v>1376</v>
      </c>
      <c r="E62" s="156" t="s">
        <v>1377</v>
      </c>
      <c r="F62" s="1667"/>
      <c r="G62" s="1667"/>
      <c r="H62" s="149"/>
      <c r="I62" s="119"/>
    </row>
    <row r="63" spans="1:35" ht="12.75">
      <c r="A63" s="163" t="s">
        <v>330</v>
      </c>
      <c r="B63" s="157" t="s">
        <v>1378</v>
      </c>
      <c r="C63" s="2345">
        <f ca="1">ROUND((C64+C65)/(1+'数据-取费表'!C42),0)</f>
        <v>162106</v>
      </c>
      <c r="D63" s="157"/>
      <c r="E63" s="158"/>
      <c r="F63" s="1667"/>
      <c r="G63" s="1667"/>
      <c r="H63" s="149"/>
      <c r="I63" s="119"/>
      <c r="J63" s="3278" t="s">
        <v>1379</v>
      </c>
      <c r="K63" s="1242" t="s">
        <v>1380</v>
      </c>
      <c r="L63" s="1242" t="e">
        <f>IF(M49&gt;10000,M49*0.5%,IF(AND(M49&gt;1000,M49&lt;=10000),M49*1%,IF(AND(M49&gt;100,M49&lt;=1000),M49*3%,IF(AND(M49&gt;10,M49&lt;=100),M49*5%,M49*8%))))</f>
        <v>#VALUE!</v>
      </c>
      <c r="M63" s="292" t="e">
        <f>ROUND(L63,1)</f>
        <v>#VALUE!</v>
      </c>
      <c r="N63" s="2325"/>
      <c r="Z63" s="1620"/>
      <c r="AI63" s="1558"/>
    </row>
    <row r="64" spans="1:35" ht="14.25" customHeight="1">
      <c r="A64" s="159" t="s">
        <v>325</v>
      </c>
      <c r="B64" s="160" t="s">
        <v>1381</v>
      </c>
      <c r="C64" s="2346">
        <f ca="1">D45</f>
        <v>170211</v>
      </c>
      <c r="D64" s="160" t="s">
        <v>26</v>
      </c>
      <c r="E64" s="162"/>
      <c r="F64" s="1667"/>
      <c r="G64" s="1667"/>
      <c r="H64" s="149"/>
      <c r="I64" s="119"/>
      <c r="J64" s="3278"/>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326" t="s">
        <v>1383</v>
      </c>
      <c r="Z64" s="1620"/>
      <c r="AI64" s="1558"/>
    </row>
    <row r="65" spans="1:35" ht="14.25" customHeight="1">
      <c r="A65" s="159" t="s">
        <v>326</v>
      </c>
      <c r="B65" s="160" t="s">
        <v>1384</v>
      </c>
      <c r="C65" s="2347"/>
      <c r="D65" s="160"/>
      <c r="E65" s="162"/>
      <c r="F65" s="1667"/>
      <c r="G65" s="1667"/>
      <c r="H65" s="149"/>
      <c r="I65" s="119"/>
      <c r="J65" s="3278"/>
      <c r="K65" s="1242" t="s">
        <v>1385</v>
      </c>
      <c r="L65" s="1242" t="e">
        <f>IF(M49&gt;1000,M49*0.1%,IF(AND(M49&gt;500,M49&lt;=1000),M49*0.5%,IF(AND(M49&gt;50,M49&lt;=500),M49*1%,IF(AND(M49&gt;1,M49&lt;=50),M49*1.5%))))</f>
        <v>#VALUE!</v>
      </c>
      <c r="M65" s="292" t="e">
        <f t="shared" si="1"/>
        <v>#VALUE!</v>
      </c>
      <c r="N65" s="2326" t="s">
        <v>1383</v>
      </c>
      <c r="Z65" s="1620"/>
      <c r="AI65" s="1558"/>
    </row>
    <row r="66" spans="1:35" ht="14.25" customHeight="1">
      <c r="A66" s="163" t="s">
        <v>327</v>
      </c>
      <c r="B66" s="164" t="s">
        <v>1386</v>
      </c>
      <c r="C66" s="2348"/>
      <c r="D66" s="164" t="s">
        <v>26</v>
      </c>
      <c r="E66" s="1248" t="s">
        <v>671</v>
      </c>
      <c r="F66" s="1667"/>
      <c r="G66" s="1667"/>
      <c r="H66" s="149"/>
      <c r="I66" s="119"/>
      <c r="J66" s="3278"/>
      <c r="K66" s="1242" t="s">
        <v>1387</v>
      </c>
      <c r="L66" s="1242" t="e">
        <f>M49*0.5%</f>
        <v>#VALUE!</v>
      </c>
      <c r="M66" s="292" t="e">
        <f>IF(L66&gt;0.5,0.5,ROUND(L66,0))</f>
        <v>#VALUE!</v>
      </c>
      <c r="N66" s="2326" t="s">
        <v>1388</v>
      </c>
      <c r="Z66" s="1620"/>
      <c r="AI66" s="1558"/>
    </row>
    <row r="67" spans="1:35" ht="14.25" customHeight="1">
      <c r="A67" s="163" t="s">
        <v>328</v>
      </c>
      <c r="B67" s="164" t="s">
        <v>1389</v>
      </c>
      <c r="C67" s="2349">
        <f ca="1">C63-C66</f>
        <v>162106</v>
      </c>
      <c r="D67" s="160" t="s">
        <v>26</v>
      </c>
      <c r="E67" s="162"/>
      <c r="F67" s="1667"/>
      <c r="G67" s="1667"/>
      <c r="H67" s="149"/>
      <c r="I67" s="119"/>
      <c r="J67" s="3278"/>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5"/>
      <c r="Z67" s="1620"/>
      <c r="AI67" s="1558"/>
    </row>
    <row r="68" spans="1:35" ht="14.25" customHeight="1" thickBot="1">
      <c r="A68" s="166" t="s">
        <v>329</v>
      </c>
      <c r="B68" s="167" t="s">
        <v>1391</v>
      </c>
      <c r="C68" s="2350">
        <f ca="1">IF(C67&lt;=0,0,ROUND(C67*D68,0))</f>
        <v>9078</v>
      </c>
      <c r="D68" s="2351">
        <f>'数据-取费表'!B41</f>
        <v>5.6000000000000001E-2</v>
      </c>
      <c r="E68" s="168"/>
      <c r="F68" s="1667"/>
      <c r="G68" s="1667"/>
      <c r="H68" s="149"/>
      <c r="I68" s="119"/>
      <c r="J68" s="3278"/>
      <c r="K68" s="1242" t="s">
        <v>1392</v>
      </c>
      <c r="L68" s="1242" t="e">
        <f>IF(M49&gt;10000,M49*0.5%,IF(AND(M49&gt;5000,M49&lt;=10000),M49*1%,IF(AND(M49&gt;1000,M49&lt;=5000),M49*2%,IF(AND(M49&gt;200,M49&lt;=1000),M49*3%,M49*5%))))</f>
        <v>#VALUE!</v>
      </c>
      <c r="M68" s="292" t="e">
        <f>ROUND(L68,1)</f>
        <v>#VALUE!</v>
      </c>
      <c r="N68" s="2325"/>
      <c r="Z68" s="1620"/>
      <c r="AI68" s="1558"/>
    </row>
    <row r="69" spans="1:35" ht="16.5" customHeight="1">
      <c r="A69" s="1669"/>
      <c r="B69" s="1670"/>
      <c r="C69" s="1671"/>
      <c r="D69" s="1672"/>
      <c r="E69" s="1673"/>
      <c r="F69" s="1463"/>
      <c r="G69" s="1463"/>
      <c r="H69" s="1464"/>
      <c r="I69" s="644"/>
      <c r="J69" s="3278"/>
      <c r="K69" s="1242" t="s">
        <v>1393</v>
      </c>
      <c r="L69" s="1242"/>
      <c r="M69" s="292" t="e">
        <f>ROUND(SUM(M63:M68),0)</f>
        <v>#VALUE!</v>
      </c>
      <c r="N69" s="2327" t="e">
        <f>M69/M49</f>
        <v>#VALUE!</v>
      </c>
      <c r="Z69" s="1620"/>
      <c r="AI69" s="1558"/>
    </row>
    <row r="70" spans="1:35" s="640" customFormat="1" ht="15" thickBot="1">
      <c r="A70" s="3322" t="s">
        <v>1394</v>
      </c>
      <c r="B70" s="3323"/>
      <c r="C70" s="3323"/>
      <c r="D70" s="3323"/>
      <c r="E70" s="3323"/>
      <c r="F70" s="3323"/>
      <c r="G70" s="3323"/>
      <c r="H70" s="3323"/>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14" t="s">
        <v>1375</v>
      </c>
      <c r="B71" s="3315"/>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9">
        <f ca="1">ROUND(D45/(1+'数据-取费表'!C42),0)</f>
        <v>162106</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9">
        <f ca="1">C74+C78</f>
        <v>973</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2"/>
      <c r="D75" s="160" t="s">
        <v>26</v>
      </c>
      <c r="E75" s="174" t="s">
        <v>1399</v>
      </c>
      <c r="F75" s="2353"/>
      <c r="G75" s="174"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5">
        <v>0.05</v>
      </c>
      <c r="E76" s="3319" t="s">
        <v>1402</v>
      </c>
      <c r="F76" s="3318"/>
      <c r="G76" s="3318"/>
      <c r="H76" s="332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6">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7">
        <f ca="1">ROUND(D45*D78/(1+'数据-取费表'!C42),0)</f>
        <v>973</v>
      </c>
      <c r="D78" s="2358">
        <f>'数据-取费表'!B43</f>
        <v>6.000000000000001E-3</v>
      </c>
      <c r="E78" s="3311" t="s">
        <v>1406</v>
      </c>
      <c r="F78" s="3312"/>
      <c r="G78" s="3312"/>
      <c r="H78" s="331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9">
        <f ca="1">C72-C73</f>
        <v>161133</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9">
        <f ca="1">IF(C79&lt;=0,0,C79/C73)</f>
        <v>165.60431654676259</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60">
        <f ca="1">ROUND(IF(C79&lt;=0,0,IF(C80&gt;=200%,C79*60%-C73*35%,IF(C80&gt;=100%,C79*50%-C73*15%,IF(C80&gt;=50%,C79*40%-C73*5%,IF(C80&lt;50%,C79*30%,0))))),0)</f>
        <v>96339</v>
      </c>
      <c r="D81" s="23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2" t="s">
        <v>1410</v>
      </c>
      <c r="B83" s="3323"/>
      <c r="C83" s="3323"/>
      <c r="D83" s="3323"/>
      <c r="E83" s="3323"/>
      <c r="F83" s="3323"/>
      <c r="G83" s="3323"/>
      <c r="H83" s="332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14" t="s">
        <v>1375</v>
      </c>
      <c r="B84" s="3315"/>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9">
        <f ca="1">ROUND(D45/(1+'数据-取费表'!C42),0)</f>
        <v>162106</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9">
        <f ca="1">IF(H88="仅含出让金",C87+C90+C91+C92+C93+C94,C87+C91+C92+C93+C94)</f>
        <v>973</v>
      </c>
      <c r="D86" s="2362"/>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3"/>
      <c r="D88" s="2358"/>
      <c r="E88" s="183" t="s">
        <v>1413</v>
      </c>
      <c r="F88" s="2145"/>
      <c r="G88" s="184" t="s">
        <v>1414</v>
      </c>
      <c r="H88" s="1681"/>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7">
        <f>ROUND(C88*D89,0)</f>
        <v>0</v>
      </c>
      <c r="D89" s="2358">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3"/>
      <c r="D90" s="2358"/>
      <c r="E90" s="183" t="str">
        <f>IF(H88="-","土地取得成本中已包含该笔费用"," ")</f>
        <v xml:space="preserve"> </v>
      </c>
      <c r="F90" s="2145"/>
      <c r="G90" s="3280" t="s">
        <v>2129</v>
      </c>
      <c r="H90" s="3281"/>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7">
        <f>IF(H91="——",成本法!C33,I91)</f>
        <v>0</v>
      </c>
      <c r="D91" s="2358"/>
      <c r="E91" s="3311" t="s">
        <v>1419</v>
      </c>
      <c r="F91" s="3312"/>
      <c r="G91" s="3312"/>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7">
        <f>ROUND((C87+C90+C91)*D92,0)</f>
        <v>0</v>
      </c>
      <c r="D92" s="2364"/>
      <c r="E92" s="3311" t="s">
        <v>1422</v>
      </c>
      <c r="F92" s="3312"/>
      <c r="G92" s="3312"/>
      <c r="H92" s="3313"/>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7">
        <f ca="1">ROUND(D45*D93/(1+'数据-取费表'!C42),0)</f>
        <v>973</v>
      </c>
      <c r="D93" s="2358">
        <f>'数据-取费表'!B43</f>
        <v>6.000000000000001E-3</v>
      </c>
      <c r="E93" s="3311" t="s">
        <v>1406</v>
      </c>
      <c r="F93" s="3312"/>
      <c r="G93" s="3312"/>
      <c r="H93" s="331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3">
        <f>ROUND((C87+C90+C91)*D94,0)</f>
        <v>0</v>
      </c>
      <c r="D94" s="2358">
        <v>0.2</v>
      </c>
      <c r="E94" s="3356" t="s">
        <v>1426</v>
      </c>
      <c r="F94" s="3357"/>
      <c r="G94" s="3357"/>
      <c r="H94" s="335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9">
        <f ca="1">ROUND(C85-C86,0)</f>
        <v>161133</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9">
        <f ca="1">IF(C95&lt;=0,0,C95/C86)</f>
        <v>165.60431654676259</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60">
        <f ca="1">ROUND(IF(C95&lt;=0,0,IF(C96&gt;=200%,C95*60%-C86*35%,IF(C96&gt;=100%,C95*50%-C86*15%,IF(C96&gt;=50%,C95*40%-C86*5%,IF(C96&lt;50%,C95*30%,0))))),0)</f>
        <v>96339</v>
      </c>
      <c r="D97" s="23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61" t="s">
        <v>1428</v>
      </c>
      <c r="B100" s="3262"/>
      <c r="C100" s="3262"/>
      <c r="D100" s="3296"/>
      <c r="E100" s="3262" t="s">
        <v>1429</v>
      </c>
      <c r="F100" s="3262"/>
      <c r="G100" s="3262"/>
      <c r="H100" s="3296"/>
      <c r="I100" s="119"/>
    </row>
    <row r="101" spans="1:35" ht="18.75" customHeight="1">
      <c r="A101" s="3304" t="s">
        <v>1430</v>
      </c>
      <c r="B101" s="3305"/>
      <c r="C101" s="2366" t="str">
        <f>C4</f>
        <v>成本法</v>
      </c>
      <c r="D101" s="2367" t="str">
        <f>D4</f>
        <v>收益法（汇总）</v>
      </c>
      <c r="E101" s="3274" t="s">
        <v>1431</v>
      </c>
      <c r="F101" s="3275"/>
      <c r="G101" s="1684" t="s">
        <v>1432</v>
      </c>
      <c r="H101" s="2376">
        <f ca="1">H118</f>
        <v>170211</v>
      </c>
      <c r="I101" s="119"/>
    </row>
    <row r="102" spans="1:35" ht="18.75" customHeight="1">
      <c r="A102" s="3306" t="s">
        <v>1433</v>
      </c>
      <c r="B102" s="2365" t="s">
        <v>1432</v>
      </c>
      <c r="C102" s="2366">
        <f ca="1">IF(D32="楼面单价",ROUND(C19,0),C19)</f>
        <v>137535</v>
      </c>
      <c r="D102" s="2367">
        <f ca="1">IF(D32="楼面单价",ROUND(D19,0),D19)</f>
        <v>191995</v>
      </c>
      <c r="E102" s="3274"/>
      <c r="F102" s="3275"/>
      <c r="G102" s="1684" t="s">
        <v>1434</v>
      </c>
      <c r="H102" s="2336">
        <f ca="1">I118</f>
        <v>25336</v>
      </c>
      <c r="I102" s="119"/>
    </row>
    <row r="103" spans="1:35" ht="42.75" customHeight="1">
      <c r="A103" s="3306"/>
      <c r="B103" s="2365" t="s">
        <v>1434</v>
      </c>
      <c r="C103" s="2368">
        <f ca="1">C20</f>
        <v>20472</v>
      </c>
      <c r="D103" s="2369">
        <f ca="1">D20</f>
        <v>28579</v>
      </c>
      <c r="E103" s="3267" t="s">
        <v>1435</v>
      </c>
      <c r="F103" s="3268"/>
      <c r="G103" s="1685" t="s">
        <v>1436</v>
      </c>
      <c r="H103" s="2376">
        <f>IF(D36="正常操作",H104+H105+H106,H105+H106)</f>
        <v>0</v>
      </c>
      <c r="I103" s="119"/>
    </row>
    <row r="104" spans="1:35" ht="18.75" customHeight="1">
      <c r="A104" s="3306" t="s">
        <v>1437</v>
      </c>
      <c r="B104" s="2370" t="s">
        <v>1432</v>
      </c>
      <c r="C104" s="2371">
        <f ca="1">H118</f>
        <v>170211</v>
      </c>
      <c r="D104" s="2372"/>
      <c r="E104" s="1552" t="s">
        <v>1438</v>
      </c>
      <c r="F104" s="1545"/>
      <c r="G104" s="1685" t="s">
        <v>1436</v>
      </c>
      <c r="H104" s="2377">
        <f>IF(D36="同一抵押权人同一抵押物续贷",C36&amp;"（续贷，未扣减，详见特别提示）",C36)</f>
        <v>0</v>
      </c>
      <c r="I104" s="119"/>
    </row>
    <row r="105" spans="1:35" ht="18.75" customHeight="1" thickBot="1">
      <c r="A105" s="3316"/>
      <c r="B105" s="2373" t="s">
        <v>1434</v>
      </c>
      <c r="C105" s="2374">
        <f ca="1">I118</f>
        <v>25336</v>
      </c>
      <c r="D105" s="2375"/>
      <c r="E105" s="1552" t="s">
        <v>1439</v>
      </c>
      <c r="F105" s="1545"/>
      <c r="G105" s="1685" t="s">
        <v>1436</v>
      </c>
      <c r="H105" s="2378">
        <f>C37</f>
        <v>0</v>
      </c>
      <c r="I105" s="119"/>
    </row>
    <row r="106" spans="1:35" ht="18.75" customHeight="1">
      <c r="A106" s="644" t="s">
        <v>1440</v>
      </c>
      <c r="B106" s="644"/>
      <c r="C106" s="644"/>
      <c r="D106" s="644"/>
      <c r="E106" s="1686" t="s">
        <v>1441</v>
      </c>
      <c r="F106" s="1545"/>
      <c r="G106" s="1685" t="s">
        <v>1436</v>
      </c>
      <c r="H106" s="2378">
        <f>C38</f>
        <v>0</v>
      </c>
      <c r="I106" s="119"/>
    </row>
    <row r="107" spans="1:35" ht="18.75" customHeight="1">
      <c r="A107" s="119"/>
      <c r="B107" s="119"/>
      <c r="C107" s="119"/>
      <c r="D107" s="119"/>
      <c r="E107" s="3307" t="str">
        <f>IF(项目基本情况!E8="已注销","——","3.房地产抵押价值")</f>
        <v>3.房地产抵押价值</v>
      </c>
      <c r="F107" s="3275"/>
      <c r="G107" s="1684" t="s">
        <v>1432</v>
      </c>
      <c r="H107" s="2376">
        <f ca="1">IF(E107="——","——",H101-H103)</f>
        <v>170211</v>
      </c>
      <c r="I107" s="119"/>
    </row>
    <row r="108" spans="1:35" ht="18.75" customHeight="1">
      <c r="A108" s="119"/>
      <c r="B108" s="119"/>
      <c r="C108" s="119"/>
      <c r="D108" s="119"/>
      <c r="E108" s="3307"/>
      <c r="F108" s="3275"/>
      <c r="G108" s="1684" t="s">
        <v>1434</v>
      </c>
      <c r="H108" s="2336">
        <f ca="1">IF(H107=H101,H102,ROUND(H107*10000/'数据-汇总表'!E3,0))</f>
        <v>25336</v>
      </c>
      <c r="I108" s="119"/>
    </row>
    <row r="109" spans="1:35" ht="18.75" customHeight="1">
      <c r="A109" s="119"/>
      <c r="B109" s="119"/>
      <c r="C109" s="119"/>
      <c r="D109" s="119"/>
      <c r="E109" s="3307" t="str">
        <f>IF(项目基本情况!E8="已注销及未注销","4.抵押担保权已注销时的房地产抵押价值",IF(项目基本情况!E8="已注销","3.抵押担保权已注销时的房地产抵押价值","——"))</f>
        <v>——</v>
      </c>
      <c r="F109" s="3275"/>
      <c r="G109" s="1684" t="s">
        <v>1432</v>
      </c>
      <c r="H109" s="2379" t="str">
        <f>IF(E109="——","——",H101-H105-H106)</f>
        <v>——</v>
      </c>
      <c r="I109" s="119"/>
    </row>
    <row r="110" spans="1:35" ht="18.75" customHeight="1">
      <c r="A110" s="119"/>
      <c r="B110" s="119"/>
      <c r="C110" s="119"/>
      <c r="D110" s="119"/>
      <c r="E110" s="3307"/>
      <c r="F110" s="3275"/>
      <c r="G110" s="1684" t="s">
        <v>1434</v>
      </c>
      <c r="H110" s="2336" t="str">
        <f>IF(H109="——","——",ROUND(H109*10000/'数据-汇总表'!E3,0))</f>
        <v>——</v>
      </c>
      <c r="I110" s="119"/>
    </row>
    <row r="111" spans="1:35" ht="18.75" customHeight="1">
      <c r="A111" s="119"/>
      <c r="B111" s="119"/>
      <c r="C111" s="119"/>
      <c r="D111" s="119"/>
      <c r="E111" s="3308" t="str">
        <f>IF(项目基本情况!E9="抵押净值",IF(OR(项目基本情况!E8="已注销",项目基本情况!E8="房地产抵押价值"),"4.抵押净值","5.抵押净值"),"——")</f>
        <v>——</v>
      </c>
      <c r="F111" s="3294"/>
      <c r="G111" s="1684" t="s">
        <v>1432</v>
      </c>
      <c r="H111" s="2376" t="str">
        <f>IF(E111="——","——",N59)</f>
        <v>——</v>
      </c>
      <c r="I111" s="119"/>
    </row>
    <row r="112" spans="1:35" ht="18.75" customHeight="1" thickBot="1">
      <c r="A112" s="119"/>
      <c r="B112" s="119"/>
      <c r="C112" s="119"/>
      <c r="D112" s="119"/>
      <c r="E112" s="3309"/>
      <c r="F112" s="3310"/>
      <c r="G112" s="1687" t="s">
        <v>1434</v>
      </c>
      <c r="H112" s="2380" t="str">
        <f>IF(E111="——","——",N61)</f>
        <v>——</v>
      </c>
      <c r="I112" s="119"/>
    </row>
    <row r="113" spans="1:27" ht="18.75" customHeight="1">
      <c r="A113" s="119"/>
      <c r="B113" s="119"/>
      <c r="C113" s="119"/>
      <c r="D113" s="119"/>
      <c r="E113" s="3317" t="s">
        <v>1440</v>
      </c>
      <c r="F113" s="3317"/>
      <c r="G113" s="3317"/>
      <c r="H113" s="3317"/>
      <c r="I113" s="119"/>
    </row>
    <row r="114" spans="1:27" ht="3.75" customHeight="1">
      <c r="A114" s="644"/>
      <c r="B114" s="644"/>
      <c r="C114" s="644"/>
      <c r="D114" s="644"/>
      <c r="E114" s="1668"/>
      <c r="F114" s="1668"/>
      <c r="G114" s="1668"/>
      <c r="H114" s="1668"/>
      <c r="I114" s="644"/>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47" t="s">
        <v>1449</v>
      </c>
      <c r="E117" s="2147" t="s">
        <v>1450</v>
      </c>
      <c r="F117" s="2147" t="s">
        <v>1449</v>
      </c>
      <c r="G117" s="2147" t="s">
        <v>1451</v>
      </c>
      <c r="H117" s="2147" t="s">
        <v>1449</v>
      </c>
      <c r="I117" s="2147" t="s">
        <v>1451</v>
      </c>
    </row>
    <row r="118" spans="1:27" ht="24.75" customHeight="1">
      <c r="A118" s="2381" t="str">
        <f>项目基本情况!S2</f>
        <v>北京经济技术开发区荣华中路19号1号楼房地产</v>
      </c>
      <c r="B118" s="2147">
        <f>M18</f>
        <v>67180.950000000026</v>
      </c>
      <c r="C118" s="2147">
        <f>M19</f>
        <v>0</v>
      </c>
      <c r="D118" s="2147">
        <f ca="1">ROUND(IF(D32="总价",C34,E118*B118/10000),0)</f>
        <v>101786</v>
      </c>
      <c r="E118" s="2147">
        <f ca="1">ROUND(IF(C33="自定义",IF(D32="楼面单价",C34,D118*10000/B118),I118-G118),0)</f>
        <v>15151</v>
      </c>
      <c r="F118" s="2147">
        <f ca="1">ROUND(IF(D32="总价",C35,G118*B118/10000),0)</f>
        <v>68425</v>
      </c>
      <c r="G118" s="2147">
        <f ca="1">ROUND(IF(D32="楼面单价",C35,F118*10000/B118),0)</f>
        <v>10185</v>
      </c>
      <c r="H118" s="2147">
        <f ca="1">ROUND(IF(D32="总价",C32,I118*B118/10000),0)</f>
        <v>170211</v>
      </c>
      <c r="I118" s="2147">
        <f ca="1">ROUND(IF(D32="楼面单价",C32,H118*10000/B118),0)</f>
        <v>25336</v>
      </c>
    </row>
    <row r="119" spans="1:27" ht="18.75" customHeight="1">
      <c r="A119" s="3282" t="s">
        <v>1452</v>
      </c>
      <c r="B119" s="3282"/>
      <c r="C119" s="3282"/>
      <c r="D119" s="3288" t="str">
        <f ca="1">NUMBERSTRING(INT(D118*10000),2)&amp;"元整"</f>
        <v>壹拾亿壹仟柒佰捌拾陆万元整</v>
      </c>
      <c r="E119" s="3289"/>
      <c r="F119" s="3288" t="str">
        <f ca="1">NUMBERSTRING(INT(F118*10000),2)&amp;"元整"</f>
        <v>陆亿捌仟肆佰贰拾伍万元整</v>
      </c>
      <c r="G119" s="3289"/>
      <c r="H119" s="3288" t="str">
        <f ca="1">NUMBERSTRING(INT(H118*10000),2)&amp;"元整"</f>
        <v>壹拾柒亿零贰佰壹拾壹万元整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88" t="s">
        <v>1452</v>
      </c>
      <c r="B121" s="3290"/>
      <c r="C121" s="3289"/>
      <c r="D121" s="3288" t="str">
        <f>IF(D120=0,"零元整",NUMBERSTRING(INT(D120*10000),2)&amp;"元整")</f>
        <v>零元整</v>
      </c>
      <c r="E121" s="3290"/>
      <c r="F121" s="3290"/>
      <c r="G121" s="3290"/>
      <c r="H121" s="3290"/>
      <c r="I121" s="3289"/>
      <c r="AA121" s="682"/>
    </row>
    <row r="122" spans="1:27" ht="18.75" customHeight="1">
      <c r="A122" s="3294" t="str">
        <f>IF(项目基本情况!B9="房地产市场价值","",MID(E107,3,LEN(E107)-2))</f>
        <v>房地产抵押价值</v>
      </c>
      <c r="B122" s="3294"/>
      <c r="C122" s="3294"/>
      <c r="D122" s="3283">
        <f ca="1">H107</f>
        <v>170211</v>
      </c>
      <c r="E122" s="3284"/>
      <c r="F122" s="3284"/>
      <c r="G122" s="3284"/>
      <c r="H122" s="3284"/>
      <c r="I122" s="3285"/>
      <c r="AA122" s="682"/>
    </row>
    <row r="123" spans="1:27" ht="18.75" customHeight="1">
      <c r="A123" s="3282" t="s">
        <v>1452</v>
      </c>
      <c r="B123" s="3282"/>
      <c r="C123" s="3282"/>
      <c r="D123" s="3288" t="str">
        <f ca="1">NUMBERSTRING(INT(D122*10000),2)&amp;"元整"</f>
        <v>壹拾柒亿零贰佰壹拾壹万元整</v>
      </c>
      <c r="E123" s="3290"/>
      <c r="F123" s="3290"/>
      <c r="G123" s="3290"/>
      <c r="H123" s="3290"/>
      <c r="I123" s="3289"/>
      <c r="AA123" s="682"/>
    </row>
    <row r="124" spans="1:27" ht="18.75" customHeight="1">
      <c r="A124" s="3294" t="str">
        <f>IF(项目基本情况!B9="房地产市场价值","",MID(E109,3,LEN(E109)-2))</f>
        <v/>
      </c>
      <c r="B124" s="3294"/>
      <c r="C124" s="3294"/>
      <c r="D124" s="3283" t="str">
        <f>H109</f>
        <v>——</v>
      </c>
      <c r="E124" s="3284"/>
      <c r="F124" s="3284"/>
      <c r="G124" s="3284"/>
      <c r="H124" s="3284"/>
      <c r="I124" s="3285"/>
      <c r="AA124" s="682"/>
    </row>
    <row r="125" spans="1:27" ht="18.75" customHeight="1">
      <c r="A125" s="3282" t="s">
        <v>1452</v>
      </c>
      <c r="B125" s="3282"/>
      <c r="C125" s="3282"/>
      <c r="D125" s="3288" t="e">
        <f>NUMBERSTRING(INT(D124*10000),2)&amp;"元整"</f>
        <v>#VALUE!</v>
      </c>
      <c r="E125" s="3290"/>
      <c r="F125" s="3290"/>
      <c r="G125" s="3290"/>
      <c r="H125" s="3290"/>
      <c r="I125" s="3289"/>
      <c r="AA125" s="682"/>
    </row>
    <row r="126" spans="1:27" ht="18.75" customHeight="1">
      <c r="A126" s="3294" t="str">
        <f>IF(项目基本情况!B9="房地产市场价值","",MID(E111,3,LEN(E111)-2))</f>
        <v/>
      </c>
      <c r="B126" s="3294"/>
      <c r="C126" s="3294"/>
      <c r="D126" s="3283" t="str">
        <f>H111</f>
        <v>——</v>
      </c>
      <c r="E126" s="3284"/>
      <c r="F126" s="3284"/>
      <c r="G126" s="3284"/>
      <c r="H126" s="3284"/>
      <c r="I126" s="3285"/>
      <c r="AA126" s="682"/>
    </row>
    <row r="127" spans="1:27" ht="18.75" customHeight="1">
      <c r="A127" s="3282" t="s">
        <v>1452</v>
      </c>
      <c r="B127" s="3282"/>
      <c r="C127" s="3282"/>
      <c r="D127" s="3288" t="e">
        <f>NUMBERSTRING(INT(D126*10000),2)&amp;"元整"</f>
        <v>#VALUE!</v>
      </c>
      <c r="E127" s="3290"/>
      <c r="F127" s="3290"/>
      <c r="G127" s="3290"/>
      <c r="H127" s="3290"/>
      <c r="I127" s="3289"/>
      <c r="AA127" s="682"/>
    </row>
    <row r="128" spans="1:27" ht="21.75" customHeight="1">
      <c r="A128" s="3291" t="s">
        <v>1453</v>
      </c>
      <c r="B128" s="3291"/>
      <c r="C128" s="3291"/>
      <c r="D128" s="3291"/>
      <c r="E128" s="3291"/>
      <c r="F128" s="3291"/>
      <c r="G128" s="3291"/>
      <c r="H128" s="3291"/>
      <c r="I128" s="3291"/>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79" t="str">
        <f>项目基本情况!B1</f>
        <v>北京经济技术开发区荣华中路19号1号楼房地产抵押价值预评估</v>
      </c>
      <c r="C37" s="3179"/>
      <c r="D37" s="3179"/>
      <c r="E37" s="3179"/>
      <c r="F37" s="3179"/>
      <c r="G37" s="3179"/>
      <c r="H37" s="3179"/>
      <c r="I37" s="3179"/>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郑燚（注册号：1120070131)、崔锴（注册号：1120100036)</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E40" activeCellId="1" sqref="E33 E40"/>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6" t="s">
        <v>1926</v>
      </c>
      <c r="B1" s="187"/>
      <c r="C1" s="191" t="s">
        <v>1927</v>
      </c>
      <c r="D1" s="331">
        <f>SUM(D33:D34,D37:D42)</f>
        <v>67180.950000000026</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f>C30</f>
        <v>52973</v>
      </c>
      <c r="C2" s="1843" t="s">
        <v>1935</v>
      </c>
      <c r="D2" s="160" t="s">
        <v>1936</v>
      </c>
      <c r="E2" s="3115" t="s">
        <v>21</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Ⅵ-亦1</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8">
        <f>ROUND(SUMPRODUCT((B106:B110=R2)*(C105:N105=G2)*(C106:N110)),4)</f>
        <v>1.5019</v>
      </c>
      <c r="T2" s="3058">
        <f t="shared" ref="T2:T16" si="0">ROUND($C$5*$C$22*$C$23*$C$24*S2*$C$28,0)</f>
        <v>15098</v>
      </c>
      <c r="U2" s="1127"/>
      <c r="V2" s="3058">
        <f>ROUND(T2*U2/10000,0)</f>
        <v>0</v>
      </c>
      <c r="W2" s="1130"/>
      <c r="X2" s="1130"/>
      <c r="Y2" s="1130"/>
      <c r="Z2" s="1130"/>
      <c r="AA2" s="1130"/>
      <c r="AB2" s="1130"/>
      <c r="AC2" s="1131"/>
      <c r="AD2" s="1132"/>
      <c r="AE2" s="1132"/>
      <c r="AF2" s="1132"/>
      <c r="AG2" s="1132"/>
      <c r="AH2" s="1132"/>
      <c r="AI2" s="1132"/>
      <c r="AJ2" s="1133"/>
    </row>
    <row r="3" spans="1:36" ht="15.75">
      <c r="A3" s="193" t="s">
        <v>1940</v>
      </c>
      <c r="B3" s="194">
        <f>ROUND(B2*10000/D1,0)</f>
        <v>7885</v>
      </c>
      <c r="C3" s="1843" t="s">
        <v>1941</v>
      </c>
      <c r="D3" s="160" t="s">
        <v>1942</v>
      </c>
      <c r="E3" s="3113" t="s">
        <v>3495</v>
      </c>
      <c r="F3" s="1845" t="s">
        <v>3411</v>
      </c>
      <c r="G3" s="705">
        <f>IF(F3="宗地容积率",'数据-汇总表'!I4,IF(F3="估价对象容积率",'数据-汇总表'!I6,'数据-汇总表'!I7))</f>
        <v>4.22</v>
      </c>
      <c r="H3" s="160"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8">
        <f>ROUND(SUMPRODUCT((B106:B110=R3)*(C105:N105=G2)*(C106:N110)),4)</f>
        <v>1.1838</v>
      </c>
      <c r="T3" s="3058">
        <f t="shared" si="0"/>
        <v>11900</v>
      </c>
      <c r="U3" s="1127"/>
      <c r="V3" s="3058">
        <f t="shared" ref="V3:V16" si="1">ROUND(T3*U3/10000,0)</f>
        <v>0</v>
      </c>
      <c r="W3" s="1130"/>
      <c r="X3" s="1130"/>
      <c r="Y3" s="1130"/>
      <c r="Z3" s="1130"/>
      <c r="AA3" s="1130"/>
      <c r="AB3" s="1130"/>
      <c r="AC3" s="1131"/>
      <c r="AD3" s="1132"/>
      <c r="AE3" s="1132"/>
      <c r="AF3" s="1132"/>
      <c r="AG3" s="1132"/>
      <c r="AH3" s="1132"/>
      <c r="AI3" s="1132"/>
      <c r="AJ3" s="1133"/>
    </row>
    <row r="4" spans="1:36" ht="15.75">
      <c r="A4" s="3368"/>
      <c r="B4" s="3369"/>
      <c r="C4" s="3369"/>
      <c r="D4" s="3370"/>
      <c r="E4" s="3370"/>
      <c r="F4" s="3370"/>
      <c r="G4" s="3370"/>
      <c r="H4" s="3370"/>
      <c r="I4" s="3370"/>
      <c r="J4" s="3371"/>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8">
        <f>ROUND(SUMPRODUCT((B106:B110=R4)*(C105:N105=G2)*(C106:N110)),4)</f>
        <v>1.0004999999999999</v>
      </c>
      <c r="T4" s="3058">
        <f t="shared" si="0"/>
        <v>10058</v>
      </c>
      <c r="U4" s="1127"/>
      <c r="V4" s="3058">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11010</v>
      </c>
      <c r="D5" s="1249">
        <f>ROUND(C6*C17+C20,0)</f>
        <v>11010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8">
        <f>ROUND(SUMPRODUCT((B106:B110=R5)*(C105:N105=G2)*(C106:N110)),4)</f>
        <v>0.88239999999999996</v>
      </c>
      <c r="T5" s="3058">
        <f t="shared" si="0"/>
        <v>8870</v>
      </c>
      <c r="U5" s="1127"/>
      <c r="V5" s="3058">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11030</v>
      </c>
      <c r="D6" s="1858"/>
      <c r="E6" s="1859"/>
      <c r="F6" s="1859"/>
      <c r="G6" s="1860"/>
      <c r="H6" s="1860"/>
      <c r="I6" s="1860"/>
      <c r="J6" s="1861"/>
      <c r="K6" s="1289"/>
      <c r="L6" s="1844" t="s">
        <v>1951</v>
      </c>
      <c r="M6" s="808">
        <f>SUMPRODUCT((区片价!B127:B189=I2)*(区片价!C3:G3=E2)*(区片价!C127:G189))</f>
        <v>11030</v>
      </c>
      <c r="N6" s="810">
        <f>SUMPRODUCT((因素修正幅度!B127:B189=I2)*(因素修正幅度!C3:G3=E2)*(因素修正幅度!C127:G189))</f>
        <v>0.126</v>
      </c>
      <c r="O6" s="1053"/>
      <c r="P6" s="1053"/>
      <c r="Q6" s="1053"/>
      <c r="R6" s="1126">
        <v>5</v>
      </c>
      <c r="S6" s="3058">
        <f>ROUND(SUMPRODUCT((B106:B110=R6)*(C105:N105=G2)*(C106:N110)),4)</f>
        <v>0.84799999999999998</v>
      </c>
      <c r="T6" s="3058">
        <f t="shared" si="0"/>
        <v>8525</v>
      </c>
      <c r="U6" s="1127"/>
      <c r="V6" s="3058">
        <f t="shared" si="1"/>
        <v>0</v>
      </c>
      <c r="W6" s="1130"/>
      <c r="X6" s="1130"/>
      <c r="Y6" s="1130"/>
      <c r="Z6" s="1130"/>
      <c r="AA6" s="1130"/>
      <c r="AB6" s="1130"/>
      <c r="AC6" s="1852"/>
      <c r="AD6" s="1853"/>
      <c r="AE6" s="1853"/>
      <c r="AF6" s="1853"/>
      <c r="AG6" s="1853"/>
      <c r="AH6" s="1853"/>
      <c r="AI6" s="1853"/>
      <c r="AJ6" s="1854"/>
    </row>
    <row r="7" spans="1:36" ht="24.75" thickBot="1">
      <c r="A7" s="3007" t="s">
        <v>3233</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2">
        <v>0.89219999999999999</v>
      </c>
      <c r="T7" s="3058">
        <f t="shared" si="0"/>
        <v>8969</v>
      </c>
      <c r="U7" s="1127"/>
      <c r="V7" s="3058">
        <f t="shared" si="1"/>
        <v>0</v>
      </c>
      <c r="W7" s="1264" t="s">
        <v>1955</v>
      </c>
      <c r="X7" s="1128" t="str">
        <f>G2</f>
        <v>六级</v>
      </c>
      <c r="Y7" s="1128" t="s">
        <v>1956</v>
      </c>
      <c r="Z7" s="1129">
        <f>G3</f>
        <v>4.22</v>
      </c>
      <c r="AA7" s="1130"/>
      <c r="AB7" s="1130"/>
      <c r="AC7" s="1131"/>
      <c r="AD7" s="1132"/>
      <c r="AE7" s="1132"/>
      <c r="AF7" s="1132"/>
      <c r="AG7" s="1132"/>
      <c r="AH7" s="1132"/>
      <c r="AI7" s="1132"/>
      <c r="AJ7" s="1133"/>
    </row>
    <row r="8" spans="1:36" ht="25.5">
      <c r="A8" s="3004"/>
      <c r="B8" s="160" t="s">
        <v>1957</v>
      </c>
      <c r="C8" s="1867" t="s">
        <v>3412</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0.89149999999999996</v>
      </c>
      <c r="T8" s="3058">
        <f t="shared" si="0"/>
        <v>8962</v>
      </c>
      <c r="U8" s="1127"/>
      <c r="V8" s="3058">
        <f t="shared" si="1"/>
        <v>0</v>
      </c>
      <c r="W8" s="3365" t="s">
        <v>1960</v>
      </c>
      <c r="X8" s="336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4"/>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v>0.89059999999999995</v>
      </c>
      <c r="T9" s="3058">
        <f t="shared" si="0"/>
        <v>8953</v>
      </c>
      <c r="U9" s="1127"/>
      <c r="V9" s="3058">
        <f t="shared" si="1"/>
        <v>0</v>
      </c>
      <c r="W9" s="3367"/>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v>0.88970000000000005</v>
      </c>
      <c r="T10" s="3058">
        <f t="shared" si="0"/>
        <v>8944</v>
      </c>
      <c r="U10" s="1127"/>
      <c r="V10" s="3058">
        <f t="shared" si="1"/>
        <v>0</v>
      </c>
      <c r="W10" s="3367"/>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v>0.88859999999999995</v>
      </c>
      <c r="T11" s="3058">
        <f t="shared" si="0"/>
        <v>8933</v>
      </c>
      <c r="U11" s="1127"/>
      <c r="V11" s="3058">
        <f t="shared" si="1"/>
        <v>0</v>
      </c>
      <c r="W11" s="1130"/>
      <c r="X11" s="1130"/>
      <c r="Y11" s="1130"/>
      <c r="Z11" s="1130"/>
      <c r="AA11" s="1130"/>
      <c r="AB11" s="1130"/>
      <c r="AC11" s="1131"/>
      <c r="AD11" s="2548"/>
      <c r="AE11" s="2548"/>
      <c r="AF11" s="2548"/>
      <c r="AG11" s="2548"/>
      <c r="AH11" s="2548"/>
      <c r="AI11" s="2548"/>
      <c r="AJ11" s="2549"/>
    </row>
    <row r="12" spans="1:36" ht="25.5" thickBot="1">
      <c r="A12" s="3007" t="s">
        <v>3234</v>
      </c>
      <c r="B12" s="3008" t="s">
        <v>3235</v>
      </c>
      <c r="C12" s="3009">
        <v>1</v>
      </c>
      <c r="D12" s="3010" t="s">
        <v>3236</v>
      </c>
      <c r="E12" s="3011" t="s">
        <v>3237</v>
      </c>
      <c r="F12" s="3012"/>
      <c r="G12" s="3013"/>
      <c r="H12" s="3013"/>
      <c r="I12" s="3013"/>
      <c r="J12" s="301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v>0.88739999999999997</v>
      </c>
      <c r="T12" s="3058">
        <f t="shared" si="0"/>
        <v>8921</v>
      </c>
      <c r="U12" s="1127"/>
      <c r="V12" s="3058">
        <f t="shared" si="1"/>
        <v>0</v>
      </c>
      <c r="W12" s="1130"/>
      <c r="X12" s="1130"/>
      <c r="Y12" s="1130"/>
      <c r="Z12" s="1130"/>
      <c r="AA12" s="1130"/>
      <c r="AB12" s="1130"/>
      <c r="AC12" s="1131"/>
      <c r="AD12" s="2548"/>
      <c r="AE12" s="2548"/>
      <c r="AF12" s="2548"/>
      <c r="AG12" s="2548"/>
      <c r="AH12" s="2548"/>
      <c r="AI12" s="2548"/>
      <c r="AJ12" s="2549"/>
    </row>
    <row r="13" spans="1:36" ht="15.75" thickBot="1">
      <c r="A13" s="3007" t="s">
        <v>3238</v>
      </c>
      <c r="B13" s="1875" t="s">
        <v>1982</v>
      </c>
      <c r="C13" s="708">
        <f>ROUND(C16*D16*E16*F16*G16*H16*I16*J16,4)</f>
        <v>0</v>
      </c>
      <c r="D13" s="1876" t="s">
        <v>1983</v>
      </c>
      <c r="E13" s="1877"/>
      <c r="F13" s="1877"/>
      <c r="G13" s="1878"/>
      <c r="H13" s="1878"/>
      <c r="I13" s="1878"/>
      <c r="J13" s="1879"/>
      <c r="K13" s="1053"/>
      <c r="L13" s="3"/>
      <c r="M13" s="4"/>
      <c r="N13" s="3005"/>
      <c r="O13" s="1053"/>
      <c r="P13" s="1053"/>
      <c r="Q13" s="1053"/>
      <c r="R13" s="1126">
        <v>12</v>
      </c>
      <c r="S13" s="1127">
        <v>0.8861</v>
      </c>
      <c r="T13" s="3058">
        <f t="shared" si="0"/>
        <v>8908</v>
      </c>
      <c r="U13" s="1127"/>
      <c r="V13" s="3058">
        <f t="shared" si="1"/>
        <v>0</v>
      </c>
      <c r="W13" s="1130"/>
      <c r="X13" s="1130"/>
      <c r="Y13" s="1130"/>
      <c r="Z13" s="1130"/>
      <c r="AA13" s="1130"/>
      <c r="AB13" s="1130"/>
      <c r="AC13" s="1131"/>
      <c r="AD13" s="2548"/>
      <c r="AE13" s="2548"/>
      <c r="AF13" s="2548"/>
      <c r="AG13" s="2548"/>
      <c r="AH13" s="2548"/>
      <c r="AI13" s="2548"/>
      <c r="AJ13" s="2549"/>
    </row>
    <row r="14" spans="1:36" ht="15">
      <c r="A14" s="3003"/>
      <c r="B14" s="1880" t="s">
        <v>1985</v>
      </c>
      <c r="C14" s="1881" t="s">
        <v>1986</v>
      </c>
      <c r="D14" s="1258" t="s">
        <v>1987</v>
      </c>
      <c r="E14" s="27" t="s">
        <v>1988</v>
      </c>
      <c r="F14" s="3015" t="s">
        <v>3239</v>
      </c>
      <c r="G14" s="3015" t="s">
        <v>3239</v>
      </c>
      <c r="H14" s="3015" t="s">
        <v>3239</v>
      </c>
      <c r="I14" s="3015" t="s">
        <v>3239</v>
      </c>
      <c r="J14" s="3015" t="s">
        <v>3239</v>
      </c>
      <c r="K14" s="1053"/>
      <c r="L14" s="1053"/>
      <c r="M14" s="1053"/>
      <c r="N14" s="1053"/>
      <c r="O14" s="1053"/>
      <c r="P14" s="1053"/>
      <c r="Q14" s="1053"/>
      <c r="R14" s="1126">
        <v>13</v>
      </c>
      <c r="S14" s="1127">
        <v>0.88470000000000004</v>
      </c>
      <c r="T14" s="3058">
        <f t="shared" si="0"/>
        <v>8894</v>
      </c>
      <c r="U14" s="1127"/>
      <c r="V14" s="3058">
        <f t="shared" si="1"/>
        <v>0</v>
      </c>
      <c r="W14" s="1130"/>
      <c r="X14" s="1130"/>
      <c r="Y14" s="1130"/>
      <c r="Z14" s="1130"/>
      <c r="AA14" s="1130"/>
      <c r="AB14" s="1130"/>
      <c r="AC14" s="1131"/>
      <c r="AD14" s="2548"/>
      <c r="AE14" s="2548"/>
      <c r="AF14" s="2548"/>
      <c r="AG14" s="2548"/>
      <c r="AH14" s="2548"/>
      <c r="AI14" s="2548"/>
      <c r="AJ14" s="2549"/>
    </row>
    <row r="15" spans="1:36" ht="15">
      <c r="A15" s="3003"/>
      <c r="B15" s="1882"/>
      <c r="C15" s="1883"/>
      <c r="D15" s="1884"/>
      <c r="E15" s="1885"/>
      <c r="F15" s="1467" t="s">
        <v>3240</v>
      </c>
      <c r="G15" s="1925"/>
      <c r="H15" s="3016"/>
      <c r="I15" s="3017"/>
      <c r="J15" s="3018"/>
      <c r="K15" s="1053"/>
      <c r="L15" s="1053"/>
      <c r="M15" s="1053"/>
      <c r="N15" s="1053"/>
      <c r="O15" s="1053"/>
      <c r="P15" s="1053"/>
      <c r="Q15" s="1053"/>
      <c r="R15" s="1126">
        <v>14</v>
      </c>
      <c r="S15" s="1127">
        <v>0.8831</v>
      </c>
      <c r="T15" s="3058">
        <f t="shared" si="0"/>
        <v>8877</v>
      </c>
      <c r="U15" s="1127"/>
      <c r="V15" s="3058">
        <f t="shared" si="1"/>
        <v>0</v>
      </c>
      <c r="W15" s="1130"/>
      <c r="X15" s="1130"/>
      <c r="Y15" s="1130"/>
      <c r="Z15" s="1130"/>
      <c r="AA15" s="1130"/>
      <c r="AB15" s="1130"/>
      <c r="AC15" s="1131"/>
      <c r="AD15" s="2548"/>
      <c r="AE15" s="2548"/>
      <c r="AF15" s="2548"/>
      <c r="AG15" s="2548"/>
      <c r="AH15" s="2548"/>
      <c r="AI15" s="2548"/>
      <c r="AJ15" s="2549"/>
    </row>
    <row r="16" spans="1:36" ht="15.75" thickBot="1">
      <c r="A16" s="3003"/>
      <c r="B16" s="3021" t="s">
        <v>1989</v>
      </c>
      <c r="C16" s="3019"/>
      <c r="D16" s="3019"/>
      <c r="E16" s="3019"/>
      <c r="F16" s="3019">
        <v>1</v>
      </c>
      <c r="G16" s="3019">
        <v>1</v>
      </c>
      <c r="H16" s="3019">
        <v>1</v>
      </c>
      <c r="I16" s="3019">
        <v>1</v>
      </c>
      <c r="J16" s="3020">
        <v>1</v>
      </c>
      <c r="K16" s="1053"/>
      <c r="L16" s="1841"/>
      <c r="M16" s="1841"/>
      <c r="N16" s="1841"/>
      <c r="O16" s="1841"/>
      <c r="P16" s="1841"/>
      <c r="Q16" s="1053"/>
      <c r="R16" s="1126">
        <v>15</v>
      </c>
      <c r="S16" s="1127">
        <v>0.88149999999999995</v>
      </c>
      <c r="T16" s="3058">
        <f t="shared" si="0"/>
        <v>8861</v>
      </c>
      <c r="U16" s="1127">
        <f>'数据-基础表'!I13</f>
        <v>55436.960000000036</v>
      </c>
      <c r="V16" s="3058">
        <f t="shared" si="1"/>
        <v>49123</v>
      </c>
      <c r="W16" s="1130"/>
      <c r="X16" s="1130"/>
      <c r="Y16" s="1130"/>
      <c r="Z16" s="1130"/>
      <c r="AA16" s="1130"/>
      <c r="AB16" s="1130"/>
      <c r="AC16" s="1131"/>
      <c r="AD16" s="2548"/>
      <c r="AE16" s="2548"/>
      <c r="AF16" s="2548"/>
      <c r="AG16" s="2548"/>
      <c r="AH16" s="2548"/>
      <c r="AI16" s="2548"/>
      <c r="AJ16" s="2549"/>
    </row>
    <row r="17" spans="1:37">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3"/>
      <c r="B18" s="2305"/>
      <c r="C18" s="3029"/>
      <c r="D18" s="3024" t="s">
        <v>3244</v>
      </c>
      <c r="E18" s="2352"/>
      <c r="F18" s="3025" t="s">
        <v>3247</v>
      </c>
      <c r="G18" s="3029">
        <f>ROUND(1-(1/(POWER(1+G24,E18))),4)</f>
        <v>0</v>
      </c>
      <c r="H18" s="3025" t="s">
        <v>3249</v>
      </c>
      <c r="I18" s="3029">
        <f>ROUND(1-(1/(POWER(1+G24,J24))),4)</f>
        <v>0.93120000000000003</v>
      </c>
      <c r="J18" s="303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7"/>
    </row>
    <row r="19" spans="1:37" s="1855" customFormat="1" ht="15" thickBot="1">
      <c r="A19" s="3035"/>
      <c r="B19" s="3036"/>
      <c r="C19" s="3037"/>
      <c r="D19" s="3037" t="s">
        <v>3245</v>
      </c>
      <c r="E19" s="3038"/>
      <c r="F19" s="3039" t="s">
        <v>3248</v>
      </c>
      <c r="G19" s="3038"/>
      <c r="H19" s="3037"/>
      <c r="I19" s="3037"/>
      <c r="J19" s="304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0"/>
      <c r="AH19" s="1977"/>
      <c r="AI19" s="559"/>
      <c r="AJ19" s="559"/>
      <c r="AK19" s="1896"/>
    </row>
    <row r="20" spans="1:37" s="1855" customFormat="1" ht="14.25">
      <c r="A20" s="3372" t="s">
        <v>3250</v>
      </c>
      <c r="B20" s="157" t="s">
        <v>1994</v>
      </c>
      <c r="C20" s="3026">
        <f>ROUND(IF(F21="与级别开发程度一致",0,(G21-E21)/C21),0)</f>
        <v>-20</v>
      </c>
      <c r="D20" s="3041" t="s">
        <v>1998</v>
      </c>
      <c r="E20" s="3042"/>
      <c r="F20" s="3378" t="s">
        <v>1995</v>
      </c>
      <c r="G20" s="3379"/>
      <c r="H20" s="3027" t="s">
        <v>3414</v>
      </c>
      <c r="I20" s="3027" t="s">
        <v>3415</v>
      </c>
      <c r="J20" s="3028" t="s">
        <v>3416</v>
      </c>
      <c r="K20" s="1886" t="s">
        <v>3417</v>
      </c>
      <c r="L20" s="1886" t="s">
        <v>3418</v>
      </c>
      <c r="M20" s="1886" t="s">
        <v>43</v>
      </c>
      <c r="N20" s="1886" t="s">
        <v>3419</v>
      </c>
      <c r="O20" s="1887" t="s">
        <v>3420</v>
      </c>
      <c r="P20" s="1841"/>
      <c r="Q20" s="1057"/>
      <c r="R20" s="1057"/>
      <c r="S20" s="1057"/>
      <c r="T20" s="1054"/>
      <c r="U20" s="1054"/>
      <c r="V20" s="1054"/>
      <c r="W20" s="1053"/>
      <c r="X20" s="1053"/>
      <c r="Y20" s="1053"/>
      <c r="Z20" s="1058"/>
      <c r="AA20" s="1058"/>
      <c r="AB20" s="1058"/>
      <c r="AC20" s="1058"/>
      <c r="AD20" s="1058"/>
      <c r="AE20" s="1058"/>
      <c r="AF20" s="1058"/>
      <c r="AG20" s="2547"/>
      <c r="AH20" s="2547"/>
      <c r="AI20" s="2547"/>
      <c r="AJ20" s="2547"/>
    </row>
    <row r="21" spans="1:37" s="1855" customFormat="1" ht="26.25" thickBot="1">
      <c r="A21" s="3373"/>
      <c r="B21" s="1999" t="s">
        <v>1997</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3413</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40</v>
      </c>
      <c r="O21" s="2002">
        <f>SUMPRODUCT((七通一平=O20)*(修正!B1:M1=G2)*(修正!B8:M16))</f>
        <v>15</v>
      </c>
      <c r="P21" s="1841"/>
      <c r="Q21" s="2547"/>
      <c r="R21" s="1057"/>
      <c r="S21" s="1057"/>
      <c r="T21" s="1054"/>
      <c r="U21" s="1054"/>
      <c r="V21" s="1054"/>
      <c r="W21" s="1053"/>
      <c r="X21" s="1053"/>
      <c r="Y21" s="1053"/>
      <c r="Z21" s="1058"/>
      <c r="AA21" s="1058"/>
      <c r="AB21" s="1058"/>
      <c r="AC21" s="1058"/>
      <c r="AD21" s="1058"/>
      <c r="AE21" s="1058"/>
      <c r="AF21" s="1058"/>
      <c r="AG21" s="2547"/>
      <c r="AH21" s="2547"/>
      <c r="AI21" s="2547"/>
      <c r="AJ21" s="2547"/>
    </row>
    <row r="22" spans="1:37" s="1855" customFormat="1" ht="15.75" thickBot="1">
      <c r="A22" s="1993" t="s">
        <v>363</v>
      </c>
      <c r="B22" s="1994" t="s">
        <v>2000</v>
      </c>
      <c r="C22" s="1995">
        <f>SUMIF(修正!C20:C51,E3,修正!E20:E51)</f>
        <v>1</v>
      </c>
      <c r="D22" s="1996"/>
      <c r="E22" s="1997"/>
      <c r="F22" s="1997"/>
      <c r="G22" s="1997"/>
      <c r="H22" s="1997"/>
      <c r="I22" s="1997"/>
      <c r="J22" s="1998"/>
      <c r="K22" s="1058"/>
      <c r="L22" s="2547"/>
      <c r="M22" s="2547"/>
      <c r="N22" s="2547"/>
      <c r="O22" s="1056"/>
      <c r="P22" s="1056"/>
      <c r="Q22" s="2547"/>
      <c r="R22" s="1057"/>
      <c r="S22" s="1057"/>
      <c r="T22" s="1054"/>
      <c r="U22" s="1054"/>
      <c r="V22" s="1054"/>
      <c r="W22" s="1053"/>
      <c r="X22" s="1053"/>
      <c r="Y22" s="1053"/>
      <c r="Z22" s="1058"/>
      <c r="AA22" s="1058"/>
      <c r="AB22" s="1058"/>
      <c r="AC22" s="1058"/>
      <c r="AD22" s="1058"/>
      <c r="AE22" s="1058"/>
      <c r="AF22" s="1058"/>
      <c r="AG22" s="2547"/>
      <c r="AH22" s="2547"/>
      <c r="AI22" s="2547"/>
      <c r="AJ22" s="2547"/>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2002</v>
      </c>
      <c r="E23" s="714">
        <v>44197</v>
      </c>
      <c r="F23" s="1893" t="s">
        <v>2003</v>
      </c>
      <c r="G23" s="715">
        <f>'数据-取费表'!B2</f>
        <v>45735</v>
      </c>
      <c r="H23" s="3043" t="s">
        <v>3251</v>
      </c>
      <c r="I23" s="3044" t="str">
        <f>IF(H23="季度增幅（自定义）",SUMIF(N25:N28,E2,O25:O28),"")</f>
        <v/>
      </c>
      <c r="J23" s="3136" t="s">
        <v>3496</v>
      </c>
      <c r="K23" s="1058"/>
      <c r="L23" s="1894" t="s">
        <v>2004</v>
      </c>
      <c r="M23" s="1238">
        <f>ROUND(SUMIF(地价!B2:G2,E2,地价!B16:G16),0)</f>
        <v>350</v>
      </c>
      <c r="N23" s="1895" t="s">
        <v>2005</v>
      </c>
      <c r="O23" s="716">
        <f>ROUNDDOWN(DATEDIF(E23,G23,"M")/3,0)</f>
        <v>16</v>
      </c>
      <c r="P23" s="1054"/>
      <c r="Q23" s="2547"/>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0.84640000000000004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28.99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7"/>
      <c r="AH24" s="2547"/>
      <c r="AI24" s="2547"/>
      <c r="AJ24" s="2547"/>
    </row>
    <row r="25" spans="1:37" ht="15">
      <c r="A25" s="1904" t="s">
        <v>366</v>
      </c>
      <c r="B25" s="1905" t="s">
        <v>3497</v>
      </c>
      <c r="C25" s="459">
        <f>IF(B25="容积率修正",IF(G3&lt;10,D26,J26),C27)</f>
        <v>0.91210000000000002</v>
      </c>
      <c r="D25" s="1906"/>
      <c r="E25" s="1906"/>
      <c r="F25" s="1906"/>
      <c r="G25" s="1906"/>
      <c r="H25" s="1906"/>
      <c r="I25" s="1906"/>
      <c r="J25" s="1907"/>
      <c r="K25" s="1058"/>
      <c r="L25" s="2547"/>
      <c r="M25" s="2547"/>
      <c r="N25" s="1908" t="s">
        <v>2013</v>
      </c>
      <c r="O25" s="1090"/>
      <c r="P25" s="1091">
        <f>SUMPRODUCT((地价!A3:A40=YEAR(G23)&amp;"-"&amp;ROUNDUP(MONTH(G23)/3,0))*(地价!AD2:AH2=N25)*(地价!AD3:AH40))</f>
        <v>0</v>
      </c>
      <c r="Q25" s="2547"/>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3252</v>
      </c>
      <c r="D26" s="1260">
        <f>IF(E26=G26,F26,IF(G3&lt;10,ROUND(F26+(H26-F26)*(G3-E26)/(G26-E26),4),"——"))</f>
        <v>0.91210000000000002</v>
      </c>
      <c r="E26" s="705">
        <f>ROUNDDOWN(G3,1)</f>
        <v>4.2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0.91269999999999996</v>
      </c>
      <c r="G26" s="705">
        <f>ROUNDUP(G3,1)</f>
        <v>4.3</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0.90990000000000004</v>
      </c>
      <c r="I26" s="1909" t="s">
        <v>3253</v>
      </c>
      <c r="J26" s="372" t="str">
        <f>IF(G3&gt;=10,D115,"——")</f>
        <v>——</v>
      </c>
      <c r="K26" s="1058"/>
      <c r="L26" s="2547"/>
      <c r="M26" s="2547"/>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1.0606</v>
      </c>
      <c r="D28" s="1891"/>
      <c r="E28" s="1916"/>
      <c r="F28" s="1916"/>
      <c r="G28" s="1916"/>
      <c r="H28" s="1916"/>
      <c r="I28" s="1916"/>
      <c r="J28" s="1917"/>
      <c r="K28" s="1058"/>
      <c r="L28" s="2547"/>
      <c r="M28" s="2547"/>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4" t="s">
        <v>2023</v>
      </c>
      <c r="O29" s="2545"/>
      <c r="P29" s="2546">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52973</v>
      </c>
      <c r="D30" s="1922"/>
      <c r="E30" s="1839"/>
      <c r="F30" s="1923"/>
      <c r="G30" s="1839"/>
      <c r="H30" s="1839"/>
      <c r="I30" s="1839"/>
      <c r="J30" s="1924"/>
      <c r="K30" s="1053"/>
      <c r="L30" s="3050" t="s">
        <v>1936</v>
      </c>
      <c r="M30" s="3051" t="s">
        <v>1990</v>
      </c>
      <c r="N30" s="3051" t="s">
        <v>1991</v>
      </c>
      <c r="O30" s="3051" t="s">
        <v>1992</v>
      </c>
      <c r="P30" s="3051" t="s">
        <v>1993</v>
      </c>
      <c r="Q30" s="3054" t="s">
        <v>3257</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814</v>
      </c>
      <c r="D31" s="1926"/>
      <c r="E31" s="1927"/>
      <c r="F31" s="1928"/>
      <c r="G31" s="1927"/>
      <c r="H31" s="1927"/>
      <c r="I31" s="1927"/>
      <c r="J31" s="1929"/>
      <c r="K31" s="1053"/>
      <c r="L31" s="3052" t="s">
        <v>1996</v>
      </c>
      <c r="M31" s="160">
        <v>0.25</v>
      </c>
      <c r="N31" s="160">
        <v>0.2</v>
      </c>
      <c r="O31" s="160">
        <v>0.15</v>
      </c>
      <c r="P31" s="160">
        <v>0.1</v>
      </c>
      <c r="Q31" s="304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3" t="s">
        <v>1999</v>
      </c>
      <c r="M32" s="2351">
        <f>ROUND($E$24*(1+M31),3)</f>
        <v>5.3999999999999999E-2</v>
      </c>
      <c r="N32" s="2351">
        <f>ROUND($E$24*(1+N31),3)</f>
        <v>5.1999999999999998E-2</v>
      </c>
      <c r="O32" s="2351">
        <f>ROUND($E$24*(1+O31),3)</f>
        <v>0.05</v>
      </c>
      <c r="P32" s="2351">
        <f>ROUND($E$24*(1+P31),3)</f>
        <v>4.8000000000000001E-2</v>
      </c>
      <c r="Q32" s="305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5">
        <f>ROUND(C5*C22*C23*C24*C25*C28,0)</f>
        <v>9169</v>
      </c>
      <c r="D33" s="1937">
        <f>'数据-汇总表'!F19</f>
        <v>54221.960000000028</v>
      </c>
      <c r="E33" s="724">
        <f>ROUND(C33*D33/10000,0)</f>
        <v>49716</v>
      </c>
      <c r="F33" s="3045" t="s">
        <v>3255</v>
      </c>
      <c r="G33" s="1938"/>
      <c r="H33" s="1938"/>
      <c r="I33" s="1938"/>
      <c r="J33" s="1939"/>
      <c r="K33" s="1053"/>
      <c r="L33" s="3048" t="s">
        <v>3258</v>
      </c>
      <c r="M33" s="3049">
        <v>5.5E-2</v>
      </c>
      <c r="N33" s="3049">
        <v>5.5E-2</v>
      </c>
      <c r="O33" s="3049">
        <v>0.05</v>
      </c>
      <c r="P33" s="3049">
        <v>0.05</v>
      </c>
      <c r="Q33" s="304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7">
        <f>ROUND(IF(E2="工业",C33*M42,IF(B25="楼层修正",SUM(V2:V16)*M41*10000/D34,C33*M41)),0)</f>
        <v>2292</v>
      </c>
      <c r="D34" s="1942"/>
      <c r="E34" s="724">
        <f>ROUND(IF(B25="楼层修正",SUM(V2:V16)*M40,C34*D34/10000),0)</f>
        <v>0</v>
      </c>
      <c r="F34" s="1943" t="s">
        <v>2032</v>
      </c>
      <c r="G34" s="1944"/>
      <c r="H34" s="1944"/>
      <c r="I34" s="1944"/>
      <c r="J34" s="1945"/>
      <c r="K34" s="1053"/>
      <c r="L34" s="3048" t="s">
        <v>3259</v>
      </c>
      <c r="M34" s="3049">
        <v>6.5000000000000002E-2</v>
      </c>
      <c r="N34" s="3049">
        <v>6.5000000000000002E-2</v>
      </c>
      <c r="O34" s="3049">
        <v>0.06</v>
      </c>
      <c r="P34" s="3049">
        <v>0.06</v>
      </c>
      <c r="Q34" s="304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6" t="s">
        <v>3256</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4" t="s">
        <v>2027</v>
      </c>
      <c r="D36" s="431" t="s">
        <v>2028</v>
      </c>
      <c r="E36" s="431" t="s">
        <v>2029</v>
      </c>
      <c r="F36" s="331" t="s">
        <v>2035</v>
      </c>
      <c r="G36" s="1951" t="s">
        <v>2027</v>
      </c>
      <c r="H36" s="1951" t="s">
        <v>2028</v>
      </c>
      <c r="I36" s="1951" t="s">
        <v>2029</v>
      </c>
      <c r="J36" s="233"/>
      <c r="K36" s="1961"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76"/>
      <c r="B37" s="1952" t="s">
        <v>2036</v>
      </c>
      <c r="C37" s="165">
        <f>ROUND(D5*C22*C23*C24*C28*F37,0)</f>
        <v>6032</v>
      </c>
      <c r="D37" s="1937"/>
      <c r="E37" s="161">
        <f>ROUND(C37*D37/10000,0)</f>
        <v>0</v>
      </c>
      <c r="F37" s="161">
        <f>SUMIF(修正!A57:A68,G2,修正!B57:B68)</f>
        <v>0.6</v>
      </c>
      <c r="G37" s="161">
        <f>ROUND(IF(E2="工业",C37*$M$42,C37*$M$41),0)</f>
        <v>1508</v>
      </c>
      <c r="H37" s="161">
        <f>D37</f>
        <v>0</v>
      </c>
      <c r="I37" s="161">
        <f>ROUND(G37*H37/10000,0)</f>
        <v>0</v>
      </c>
      <c r="J37" s="2749"/>
      <c r="K37" s="3056" t="s">
        <v>3261</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7"/>
      <c r="B38" s="1881" t="s">
        <v>2037</v>
      </c>
      <c r="C38" s="165">
        <f>ROUND(D5*C22*C23*C24*C28*F38,0)</f>
        <v>3016</v>
      </c>
      <c r="D38" s="1937"/>
      <c r="E38" s="161">
        <f t="shared" ref="E38:E42" si="4">ROUND(C38*D38/10000,0)</f>
        <v>0</v>
      </c>
      <c r="F38" s="161">
        <f>SUMIF(修正!A57:A68,G2,修正!C57:C68)</f>
        <v>0.3</v>
      </c>
      <c r="G38" s="161">
        <f>ROUND(IF(E2="工业",C38*$M$42,C38*$M$41),0)</f>
        <v>754</v>
      </c>
      <c r="H38" s="161">
        <f t="shared" ref="H38:H42" si="5">D38</f>
        <v>0</v>
      </c>
      <c r="I38" s="161">
        <f t="shared" ref="I38:I42" si="6">ROUND(G38*H38/10000,0)</f>
        <v>0</v>
      </c>
      <c r="J38" s="2748"/>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77"/>
      <c r="B39" s="1881" t="s">
        <v>3254</v>
      </c>
      <c r="C39" s="165">
        <f>ROUND(D5*C22*C23*C24*C28*F39,0)</f>
        <v>2513</v>
      </c>
      <c r="D39" s="1937"/>
      <c r="E39" s="161">
        <f t="shared" si="4"/>
        <v>0</v>
      </c>
      <c r="F39" s="161">
        <f>SUMIF(修正!A57:A68,G2,修正!D57:D68)</f>
        <v>0.25</v>
      </c>
      <c r="G39" s="161">
        <f>ROUND(IF(E2="工业",C39*$M$42,C39*$M$41),0)</f>
        <v>628</v>
      </c>
      <c r="H39" s="161">
        <f t="shared" si="5"/>
        <v>0</v>
      </c>
      <c r="I39" s="161">
        <f t="shared" si="6"/>
        <v>0</v>
      </c>
      <c r="J39" s="2748"/>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2513</v>
      </c>
      <c r="D40" s="1937">
        <f>'数据-汇总表'!G19</f>
        <v>12958.99</v>
      </c>
      <c r="E40" s="161">
        <f t="shared" si="4"/>
        <v>3257</v>
      </c>
      <c r="F40" s="165">
        <f>SUMIF(修正!A57:A68,G2,修正!E57:E68)</f>
        <v>0.25</v>
      </c>
      <c r="G40" s="161">
        <f>ROUND(IF(E2="工业",C40*$M$42,C40*$M$41),0)</f>
        <v>628</v>
      </c>
      <c r="H40" s="161">
        <f t="shared" si="5"/>
        <v>12958.99</v>
      </c>
      <c r="I40" s="161">
        <f t="shared" si="6"/>
        <v>814</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2513</v>
      </c>
      <c r="D41" s="1937"/>
      <c r="E41" s="161">
        <f t="shared" si="4"/>
        <v>0</v>
      </c>
      <c r="F41" s="165">
        <f>SUMIF(修正!A57:A68,G2,修正!F57:F68)</f>
        <v>0.25</v>
      </c>
      <c r="G41" s="161">
        <f>ROUND(IF(E2="工业",C41*$M$42,C41*$M$41),0)</f>
        <v>628</v>
      </c>
      <c r="H41" s="161">
        <f t="shared" si="5"/>
        <v>0</v>
      </c>
      <c r="I41" s="161">
        <f t="shared" si="6"/>
        <v>0</v>
      </c>
      <c r="J41" s="936"/>
      <c r="L41" s="3057" t="s">
        <v>3262</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7">
        <f>ROUND(D5*C22*C23*C44*C28*F42,0)</f>
        <v>1508</v>
      </c>
      <c r="D42" s="1942">
        <f>'数据-基础表'!M13</f>
        <v>0</v>
      </c>
      <c r="E42" s="177">
        <f t="shared" si="4"/>
        <v>0</v>
      </c>
      <c r="F42" s="720">
        <f>SUMIF(修正!A57:A68,G2,修正!G57:G68)</f>
        <v>0.15</v>
      </c>
      <c r="G42" s="177">
        <f>ROUND(IF(E2="工业",C42*$M$42,C42*$M$41),0)</f>
        <v>377</v>
      </c>
      <c r="H42" s="177">
        <f t="shared" si="5"/>
        <v>0</v>
      </c>
      <c r="I42" s="177">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1">
        <f>ROUND(POWER(1+E44,H44-G44)*(POWER(1+E44,G44)-1)/(POWER(1+E44,H44)-1),4)</f>
        <v>0.84640000000000004</v>
      </c>
      <c r="D44" s="161" t="s">
        <v>1999</v>
      </c>
      <c r="E44" s="1988">
        <f>G24</f>
        <v>5.5E-2</v>
      </c>
      <c r="F44" s="161" t="s">
        <v>2008</v>
      </c>
      <c r="G44" s="173">
        <f>项目基本情况!E15</f>
        <v>28.99</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5" thickBot="1">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hidden="1">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hidden="1">
      <c r="A51" s="1967" t="s">
        <v>2053</v>
      </c>
      <c r="B51" s="1259" t="str">
        <f>估价对象房地状况!C18</f>
        <v>较好</v>
      </c>
      <c r="C51" s="1884"/>
      <c r="D51" s="999">
        <f t="shared" si="7"/>
        <v>0</v>
      </c>
      <c r="E51" s="700"/>
      <c r="F51" s="1672"/>
      <c r="G51" s="997"/>
      <c r="H51" s="1000" t="str">
        <f t="shared" si="8"/>
        <v>——</v>
      </c>
      <c r="I51" s="306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hidden="1">
      <c r="A52" s="3065" t="s">
        <v>3264</v>
      </c>
      <c r="B52" s="1259">
        <f>估价对象房地状况!C19</f>
        <v>0</v>
      </c>
      <c r="C52" s="1884"/>
      <c r="D52" s="999">
        <f t="shared" si="7"/>
        <v>0</v>
      </c>
      <c r="E52" s="700"/>
      <c r="F52" s="1672"/>
      <c r="G52" s="997"/>
      <c r="H52" s="1000" t="str">
        <f t="shared" si="8"/>
        <v>——</v>
      </c>
      <c r="I52" s="306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hidden="1">
      <c r="A53" s="1967" t="s">
        <v>2054</v>
      </c>
      <c r="B53" s="1971" t="s">
        <v>2055</v>
      </c>
      <c r="C53" s="1884"/>
      <c r="D53" s="999">
        <f t="shared" si="7"/>
        <v>0</v>
      </c>
      <c r="E53" s="700"/>
      <c r="F53" s="1672"/>
      <c r="G53" s="997"/>
      <c r="H53" s="1000" t="str">
        <f t="shared" si="8"/>
        <v>——</v>
      </c>
      <c r="I53" s="306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t="str">
        <f>估价对象房地状况!C24</f>
        <v>次干道-荣京西街</v>
      </c>
      <c r="C54" s="1884"/>
      <c r="D54" s="999">
        <f t="shared" si="7"/>
        <v>0</v>
      </c>
      <c r="E54" s="700"/>
      <c r="F54" s="1672"/>
      <c r="G54" s="997"/>
      <c r="H54" s="1000" t="str">
        <f t="shared" si="8"/>
        <v>——</v>
      </c>
      <c r="I54" s="306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hidden="1">
      <c r="A55" s="1967" t="s">
        <v>2057</v>
      </c>
      <c r="B55" s="1972" t="s">
        <v>2058</v>
      </c>
      <c r="C55" s="1884"/>
      <c r="D55" s="999">
        <f t="shared" si="7"/>
        <v>0</v>
      </c>
      <c r="E55" s="700"/>
      <c r="F55" s="1672"/>
      <c r="G55" s="997"/>
      <c r="H55" s="1000" t="str">
        <f t="shared" si="8"/>
        <v>——</v>
      </c>
      <c r="I55" s="306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c r="D56" s="999">
        <f t="shared" si="7"/>
        <v>0</v>
      </c>
      <c r="E56" s="700"/>
      <c r="F56" s="1672"/>
      <c r="G56" s="997"/>
      <c r="H56" s="1000" t="str">
        <f t="shared" si="8"/>
        <v>——</v>
      </c>
      <c r="I56" s="306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c r="D57" s="999">
        <f t="shared" si="7"/>
        <v>0</v>
      </c>
      <c r="E57" s="700"/>
      <c r="F57" s="1672"/>
      <c r="G57" s="997"/>
      <c r="H57" s="1000" t="str">
        <f t="shared" si="8"/>
        <v>——</v>
      </c>
      <c r="I57" s="306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6.25" hidden="1" thickBot="1">
      <c r="A58" s="1974" t="s">
        <v>2061</v>
      </c>
      <c r="B58" s="1975" t="str">
        <f>估价对象房地状况!C20</f>
        <v>博大公园、亦庄新城滨河公园，一般</v>
      </c>
      <c r="C58" s="1884"/>
      <c r="D58" s="999">
        <f t="shared" si="7"/>
        <v>0</v>
      </c>
      <c r="E58" s="701"/>
      <c r="F58" s="1672"/>
      <c r="G58" s="997"/>
      <c r="H58" s="1000" t="str">
        <f t="shared" si="8"/>
        <v>——</v>
      </c>
      <c r="I58" s="306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1.0606</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5.5">
      <c r="A61" s="1967" t="s">
        <v>2064</v>
      </c>
      <c r="B61" s="1970" t="str">
        <f>估价对象房地状况!C17</f>
        <v>国锐金嵿、大族广场、亦城财富中心，较好</v>
      </c>
      <c r="C61" s="1884" t="s">
        <v>3490</v>
      </c>
      <c r="D61" s="999">
        <f t="shared" ref="D61:D69" si="12">SUMIF($J$60:$N$60,C61,J61:N61)</f>
        <v>1.5699999999999999E-2</v>
      </c>
      <c r="E61" s="699">
        <f>ROUND(SUM(D61:D69),4)</f>
        <v>6.0600000000000001E-2</v>
      </c>
      <c r="F61" s="1672">
        <f>IF(E2="办公",SUMIF(L1:L12,G2,N1:N12),"——")</f>
        <v>0.126</v>
      </c>
      <c r="G61" s="997">
        <v>1.5699999999999999E-2</v>
      </c>
      <c r="H61" s="1000">
        <f t="shared" ref="H61:H69" si="13">IFERROR(ROUNDDOWN($F$61*I61/2,4),"——")</f>
        <v>1.5699999999999999E-2</v>
      </c>
      <c r="I61" s="3063">
        <v>0.25</v>
      </c>
      <c r="J61" s="998">
        <f t="shared" ref="J61:J69" si="14">K61+$G61</f>
        <v>3.1399999999999997E-2</v>
      </c>
      <c r="K61" s="998">
        <f t="shared" ref="K61:K69" si="15">$L61+$G61</f>
        <v>1.5699999999999999E-2</v>
      </c>
      <c r="L61" s="998">
        <v>0</v>
      </c>
      <c r="M61" s="998">
        <f t="shared" ref="M61:N69" si="16">L61-$G61</f>
        <v>-1.5699999999999999E-2</v>
      </c>
      <c r="N61" s="998">
        <f t="shared" si="16"/>
        <v>-3.1399999999999997E-2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t="s">
        <v>3490</v>
      </c>
      <c r="D62" s="999">
        <f t="shared" si="12"/>
        <v>1.6299999999999999E-2</v>
      </c>
      <c r="E62" s="700"/>
      <c r="F62" s="1672"/>
      <c r="G62" s="997">
        <v>1.6299999999999999E-2</v>
      </c>
      <c r="H62" s="1000">
        <f t="shared" si="13"/>
        <v>1.6299999999999999E-2</v>
      </c>
      <c r="I62" s="3063">
        <v>0.26</v>
      </c>
      <c r="J62" s="998">
        <f t="shared" si="14"/>
        <v>3.2599999999999997E-2</v>
      </c>
      <c r="K62" s="998">
        <f t="shared" si="15"/>
        <v>1.6299999999999999E-2</v>
      </c>
      <c r="L62" s="998">
        <v>0</v>
      </c>
      <c r="M62" s="998">
        <f t="shared" si="16"/>
        <v>-1.6299999999999999E-2</v>
      </c>
      <c r="N62" s="998">
        <f t="shared" si="16"/>
        <v>-3.2599999999999997E-2</v>
      </c>
      <c r="AA62" s="1054"/>
      <c r="AB62" s="1054"/>
      <c r="AC62" s="1054"/>
      <c r="AD62" s="1054"/>
      <c r="AE62" s="1054"/>
      <c r="AF62" s="1054"/>
      <c r="AG62" s="1054"/>
      <c r="AH62" s="1054"/>
      <c r="AI62" s="1054"/>
      <c r="AJ62" s="1054"/>
      <c r="AK62" s="1054"/>
    </row>
    <row r="63" spans="1:37" s="1053" customFormat="1" ht="36">
      <c r="A63" s="3065" t="s">
        <v>3264</v>
      </c>
      <c r="B63" s="1259">
        <f>估价对象房地状况!C19</f>
        <v>0</v>
      </c>
      <c r="C63" s="1884" t="s">
        <v>3490</v>
      </c>
      <c r="D63" s="999">
        <f t="shared" si="12"/>
        <v>6.8999999999999999E-3</v>
      </c>
      <c r="E63" s="700"/>
      <c r="F63" s="1672"/>
      <c r="G63" s="997">
        <v>6.8999999999999999E-3</v>
      </c>
      <c r="H63" s="1000">
        <f t="shared" si="13"/>
        <v>6.8999999999999999E-3</v>
      </c>
      <c r="I63" s="3063">
        <v>0.11</v>
      </c>
      <c r="J63" s="998">
        <f t="shared" si="14"/>
        <v>1.38E-2</v>
      </c>
      <c r="K63" s="998">
        <f t="shared" si="15"/>
        <v>6.8999999999999999E-3</v>
      </c>
      <c r="L63" s="998">
        <v>0</v>
      </c>
      <c r="M63" s="998">
        <f t="shared" si="16"/>
        <v>-6.8999999999999999E-3</v>
      </c>
      <c r="N63" s="998">
        <f t="shared" si="16"/>
        <v>-1.38E-2</v>
      </c>
      <c r="AA63" s="1054"/>
      <c r="AB63" s="1054"/>
      <c r="AC63" s="1054"/>
      <c r="AD63" s="1054"/>
      <c r="AE63" s="1054"/>
      <c r="AF63" s="1054"/>
      <c r="AG63" s="1054"/>
      <c r="AH63" s="1054"/>
      <c r="AI63" s="1054"/>
      <c r="AJ63" s="1054"/>
      <c r="AK63" s="1054"/>
    </row>
    <row r="64" spans="1:37" s="1053" customFormat="1" ht="36.75">
      <c r="A64" s="1967" t="s">
        <v>2054</v>
      </c>
      <c r="B64" s="1971" t="s">
        <v>2055</v>
      </c>
      <c r="C64" s="1884" t="s">
        <v>3490</v>
      </c>
      <c r="D64" s="999">
        <f t="shared" si="12"/>
        <v>3.0999999999999999E-3</v>
      </c>
      <c r="E64" s="700"/>
      <c r="F64" s="1672"/>
      <c r="G64" s="997">
        <v>3.0999999999999999E-3</v>
      </c>
      <c r="H64" s="1000">
        <f t="shared" si="13"/>
        <v>3.0999999999999999E-3</v>
      </c>
      <c r="I64" s="3063">
        <v>0.05</v>
      </c>
      <c r="J64" s="998">
        <f t="shared" si="14"/>
        <v>6.1999999999999998E-3</v>
      </c>
      <c r="K64" s="998">
        <f t="shared" si="15"/>
        <v>3.0999999999999999E-3</v>
      </c>
      <c r="L64" s="998">
        <v>0</v>
      </c>
      <c r="M64" s="998">
        <f t="shared" si="16"/>
        <v>-3.0999999999999999E-3</v>
      </c>
      <c r="N64" s="998">
        <f t="shared" si="16"/>
        <v>-6.1999999999999998E-3</v>
      </c>
      <c r="AA64" s="1054"/>
      <c r="AB64" s="1054"/>
      <c r="AC64" s="1054"/>
      <c r="AD64" s="1054"/>
      <c r="AE64" s="1054"/>
      <c r="AF64" s="1054"/>
      <c r="AG64" s="1054"/>
      <c r="AH64" s="1054"/>
      <c r="AI64" s="1054"/>
      <c r="AJ64" s="1054"/>
      <c r="AK64" s="1054"/>
    </row>
    <row r="65" spans="1:37" s="1053" customFormat="1" ht="24">
      <c r="A65" s="1967" t="s">
        <v>2056</v>
      </c>
      <c r="B65" s="1259" t="str">
        <f>估价对象房地状况!C24</f>
        <v>次干道-荣京西街</v>
      </c>
      <c r="C65" s="1884" t="s">
        <v>3507</v>
      </c>
      <c r="D65" s="999">
        <f t="shared" si="12"/>
        <v>0</v>
      </c>
      <c r="E65" s="700"/>
      <c r="F65" s="1672"/>
      <c r="G65" s="997">
        <v>3.0999999999999999E-3</v>
      </c>
      <c r="H65" s="1000">
        <f t="shared" si="13"/>
        <v>3.0999999999999999E-3</v>
      </c>
      <c r="I65" s="3063">
        <v>0.05</v>
      </c>
      <c r="J65" s="998">
        <f t="shared" si="14"/>
        <v>6.1999999999999998E-3</v>
      </c>
      <c r="K65" s="998">
        <f t="shared" si="15"/>
        <v>3.0999999999999999E-3</v>
      </c>
      <c r="L65" s="998">
        <v>0</v>
      </c>
      <c r="M65" s="998">
        <f t="shared" si="16"/>
        <v>-3.0999999999999999E-3</v>
      </c>
      <c r="N65" s="998">
        <f t="shared" si="16"/>
        <v>-6.1999999999999998E-3</v>
      </c>
      <c r="AA65" s="1054"/>
      <c r="AB65" s="1054"/>
      <c r="AC65" s="1054"/>
      <c r="AD65" s="1054"/>
      <c r="AE65" s="1054"/>
      <c r="AF65" s="1054"/>
      <c r="AG65" s="1054"/>
      <c r="AH65" s="1054"/>
      <c r="AI65" s="1054"/>
      <c r="AJ65" s="1054"/>
      <c r="AK65" s="1054"/>
    </row>
    <row r="66" spans="1:37" s="1053" customFormat="1" ht="24">
      <c r="A66" s="1967" t="s">
        <v>2057</v>
      </c>
      <c r="B66" s="1972" t="s">
        <v>2058</v>
      </c>
      <c r="C66" s="1884" t="s">
        <v>3490</v>
      </c>
      <c r="D66" s="999">
        <f t="shared" si="12"/>
        <v>3.7000000000000002E-3</v>
      </c>
      <c r="E66" s="700"/>
      <c r="F66" s="1672"/>
      <c r="G66" s="997">
        <v>3.7000000000000002E-3</v>
      </c>
      <c r="H66" s="1000">
        <f t="shared" si="13"/>
        <v>3.7000000000000002E-3</v>
      </c>
      <c r="I66" s="3063">
        <v>0.06</v>
      </c>
      <c r="J66" s="998">
        <f t="shared" si="14"/>
        <v>7.4000000000000003E-3</v>
      </c>
      <c r="K66" s="998">
        <f t="shared" si="15"/>
        <v>3.7000000000000002E-3</v>
      </c>
      <c r="L66" s="998">
        <v>0</v>
      </c>
      <c r="M66" s="998">
        <f t="shared" si="16"/>
        <v>-3.7000000000000002E-3</v>
      </c>
      <c r="N66" s="998">
        <f t="shared" si="16"/>
        <v>-7.4000000000000003E-3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3490</v>
      </c>
      <c r="D67" s="999">
        <f t="shared" si="12"/>
        <v>3.7000000000000002E-3</v>
      </c>
      <c r="E67" s="700"/>
      <c r="F67" s="1672"/>
      <c r="G67" s="997">
        <v>3.7000000000000002E-3</v>
      </c>
      <c r="H67" s="1000">
        <f t="shared" si="13"/>
        <v>3.7000000000000002E-3</v>
      </c>
      <c r="I67" s="3063">
        <v>0.06</v>
      </c>
      <c r="J67" s="998">
        <f t="shared" si="14"/>
        <v>7.4000000000000003E-3</v>
      </c>
      <c r="K67" s="998">
        <f t="shared" si="15"/>
        <v>3.7000000000000002E-3</v>
      </c>
      <c r="L67" s="998">
        <v>0</v>
      </c>
      <c r="M67" s="998">
        <f t="shared" si="16"/>
        <v>-3.7000000000000002E-3</v>
      </c>
      <c r="N67" s="998">
        <f t="shared" si="16"/>
        <v>-7.4000000000000003E-3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3508</v>
      </c>
      <c r="D68" s="999">
        <f t="shared" si="12"/>
        <v>1.12E-2</v>
      </c>
      <c r="E68" s="700"/>
      <c r="F68" s="1672"/>
      <c r="G68" s="997">
        <v>5.5999999999999999E-3</v>
      </c>
      <c r="H68" s="1000">
        <f t="shared" si="13"/>
        <v>5.5999999999999999E-3</v>
      </c>
      <c r="I68" s="3063">
        <v>0.09</v>
      </c>
      <c r="J68" s="998">
        <f t="shared" si="14"/>
        <v>1.12E-2</v>
      </c>
      <c r="K68" s="998">
        <f t="shared" si="15"/>
        <v>5.5999999999999999E-3</v>
      </c>
      <c r="L68" s="998">
        <v>0</v>
      </c>
      <c r="M68" s="998">
        <f t="shared" si="16"/>
        <v>-5.5999999999999999E-3</v>
      </c>
      <c r="N68" s="998">
        <f t="shared" si="16"/>
        <v>-1.12E-2</v>
      </c>
      <c r="AA68" s="1054"/>
      <c r="AB68" s="1054"/>
      <c r="AC68" s="1054"/>
      <c r="AD68" s="1054"/>
      <c r="AE68" s="1054"/>
      <c r="AF68" s="1054"/>
      <c r="AG68" s="1054"/>
      <c r="AH68" s="1054"/>
      <c r="AI68" s="1054"/>
      <c r="AJ68" s="1054"/>
      <c r="AK68" s="1054"/>
    </row>
    <row r="69" spans="1:37" s="1053" customFormat="1" ht="26.25" thickBot="1">
      <c r="A69" s="1974" t="s">
        <v>2061</v>
      </c>
      <c r="B69" s="1976" t="str">
        <f>估价对象房地状况!C20</f>
        <v>博大公园、亦庄新城滨河公园，一般</v>
      </c>
      <c r="C69" s="1884" t="s">
        <v>3507</v>
      </c>
      <c r="D69" s="999">
        <f t="shared" si="12"/>
        <v>0</v>
      </c>
      <c r="E69" s="701"/>
      <c r="F69" s="1672"/>
      <c r="G69" s="997">
        <v>4.4000000000000003E-3</v>
      </c>
      <c r="H69" s="1000">
        <f t="shared" si="13"/>
        <v>4.4000000000000003E-3</v>
      </c>
      <c r="I69" s="3064">
        <v>7.0000000000000007E-2</v>
      </c>
      <c r="J69" s="998">
        <f t="shared" si="14"/>
        <v>8.8000000000000005E-3</v>
      </c>
      <c r="K69" s="998">
        <f t="shared" si="15"/>
        <v>4.4000000000000003E-3</v>
      </c>
      <c r="L69" s="998">
        <v>0</v>
      </c>
      <c r="M69" s="998">
        <f t="shared" si="16"/>
        <v>-4.4000000000000003E-3</v>
      </c>
      <c r="N69" s="998">
        <f t="shared" si="16"/>
        <v>-8.8000000000000005E-3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6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5" t="s">
        <v>3264</v>
      </c>
      <c r="B74" s="1259">
        <f>估价对象房地状况!C19</f>
        <v>0</v>
      </c>
      <c r="C74" s="1884"/>
      <c r="D74" s="999">
        <f t="shared" si="17"/>
        <v>0</v>
      </c>
      <c r="E74" s="702"/>
      <c r="F74" s="1672"/>
      <c r="G74" s="997"/>
      <c r="H74" s="1000" t="str">
        <f t="shared" si="18"/>
        <v>——</v>
      </c>
      <c r="I74" s="306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t="str">
        <f>估价对象房地状况!C24</f>
        <v>次干道-荣京西街</v>
      </c>
      <c r="C75" s="1884"/>
      <c r="D75" s="999">
        <f t="shared" si="17"/>
        <v>0</v>
      </c>
      <c r="E75" s="702"/>
      <c r="F75" s="1672"/>
      <c r="G75" s="997"/>
      <c r="H75" s="1000" t="str">
        <f t="shared" si="18"/>
        <v>——</v>
      </c>
      <c r="I75" s="3063">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63">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63">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3">
        <v>0.05</v>
      </c>
      <c r="J78" s="998">
        <f t="shared" si="19"/>
        <v>0</v>
      </c>
      <c r="K78" s="998">
        <f t="shared" si="20"/>
        <v>0</v>
      </c>
      <c r="L78" s="998">
        <v>0</v>
      </c>
      <c r="M78" s="998">
        <f t="shared" si="21"/>
        <v>0</v>
      </c>
      <c r="N78" s="998">
        <f t="shared" si="21"/>
        <v>0</v>
      </c>
      <c r="O78" s="1841"/>
      <c r="P78" s="1841"/>
      <c r="Z78" s="1842"/>
      <c r="AA78" s="1892"/>
      <c r="AG78" s="1055"/>
      <c r="AK78" s="1892"/>
    </row>
    <row r="79" spans="1:37" ht="25.5">
      <c r="A79" s="1967" t="s">
        <v>2061</v>
      </c>
      <c r="B79" s="1970" t="str">
        <f>估价对象房地状况!C20</f>
        <v>博大公园、亦庄新城滨河公园，一般</v>
      </c>
      <c r="C79" s="1884"/>
      <c r="D79" s="999">
        <f t="shared" si="17"/>
        <v>0</v>
      </c>
      <c r="E79" s="702"/>
      <c r="F79" s="1672"/>
      <c r="G79" s="997"/>
      <c r="H79" s="1000" t="str">
        <f t="shared" si="18"/>
        <v>——</v>
      </c>
      <c r="I79" s="3063">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4">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3">
        <v>0.3</v>
      </c>
      <c r="J84" s="998">
        <f t="shared" si="24"/>
        <v>0</v>
      </c>
      <c r="K84" s="998">
        <f t="shared" si="25"/>
        <v>0</v>
      </c>
      <c r="L84" s="998">
        <v>0</v>
      </c>
      <c r="M84" s="998">
        <f t="shared" si="26"/>
        <v>0</v>
      </c>
      <c r="N84" s="998">
        <f t="shared" si="26"/>
        <v>0</v>
      </c>
      <c r="Z84" s="1842"/>
      <c r="AA84" s="1892"/>
      <c r="AG84" s="1055"/>
      <c r="AK84" s="1892"/>
    </row>
    <row r="85" spans="1:37" ht="36">
      <c r="A85" s="3065" t="s">
        <v>3265</v>
      </c>
      <c r="B85" s="1259">
        <f>估价对象房地状况!G17</f>
        <v>0</v>
      </c>
      <c r="C85" s="1884"/>
      <c r="D85" s="999">
        <f t="shared" si="22"/>
        <v>0</v>
      </c>
      <c r="E85" s="702"/>
      <c r="F85" s="1672"/>
      <c r="G85" s="997"/>
      <c r="H85" s="1000" t="str">
        <f t="shared" si="23"/>
        <v>——</v>
      </c>
      <c r="I85" s="3063">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3">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3">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3">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3">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4">
        <v>0.05</v>
      </c>
      <c r="J90" s="998">
        <f t="shared" si="24"/>
        <v>0</v>
      </c>
      <c r="K90" s="998">
        <f t="shared" si="25"/>
        <v>0</v>
      </c>
      <c r="L90" s="998">
        <v>0</v>
      </c>
      <c r="M90" s="998">
        <f t="shared" si="26"/>
        <v>0</v>
      </c>
      <c r="N90" s="998">
        <f t="shared" si="26"/>
        <v>0</v>
      </c>
    </row>
    <row r="91" spans="1:37" ht="15">
      <c r="A91" s="3073" t="s">
        <v>2608</v>
      </c>
      <c r="B91" s="3074">
        <f>1+E93</f>
        <v>1</v>
      </c>
      <c r="C91" s="3067"/>
      <c r="D91" s="3068"/>
      <c r="E91" s="1672"/>
      <c r="F91" s="1672"/>
      <c r="G91" s="3069"/>
      <c r="H91" s="3070"/>
      <c r="I91" s="3071"/>
      <c r="J91" s="3072"/>
      <c r="K91" s="3072"/>
      <c r="L91" s="3072"/>
      <c r="M91" s="3072"/>
      <c r="N91" s="3072"/>
    </row>
    <row r="92" spans="1:37" ht="24.75">
      <c r="A92" s="3075" t="s">
        <v>3266</v>
      </c>
      <c r="B92" s="2305"/>
      <c r="C92" s="2305" t="s">
        <v>3275</v>
      </c>
      <c r="D92" s="2305" t="s">
        <v>3276</v>
      </c>
      <c r="E92" s="3047" t="s">
        <v>3277</v>
      </c>
      <c r="F92" s="3077" t="s">
        <v>3278</v>
      </c>
      <c r="G92" s="2305" t="s">
        <v>3279</v>
      </c>
      <c r="H92" s="3084" t="s">
        <v>3282</v>
      </c>
      <c r="I92" s="2305" t="s">
        <v>3283</v>
      </c>
      <c r="J92" s="2147" t="s">
        <v>3284</v>
      </c>
      <c r="K92" s="2147" t="s">
        <v>3285</v>
      </c>
      <c r="L92" s="2147" t="s">
        <v>3286</v>
      </c>
      <c r="M92" s="2147" t="s">
        <v>3287</v>
      </c>
      <c r="N92" s="2147" t="s">
        <v>3288</v>
      </c>
    </row>
    <row r="93" spans="1:37" ht="24">
      <c r="A93" s="3065" t="s">
        <v>3267</v>
      </c>
      <c r="B93" s="1218"/>
      <c r="C93" s="1884"/>
      <c r="D93" s="2305">
        <f>SUMIF($J$92:$N$92,C93,J93:N93)</f>
        <v>0</v>
      </c>
      <c r="E93" s="3078">
        <f>ROUND(SUM(D93:D101),4)</f>
        <v>0</v>
      </c>
      <c r="F93" s="1672" t="str">
        <f>IF(E2="公共服务",SUMIF(L1:L12,G2,N1:N12),"——")</f>
        <v>——</v>
      </c>
      <c r="G93" s="3069"/>
      <c r="H93" s="3114" t="str">
        <f>IFERROR(ROUNDDOWN($F$93*I93/2,4),"——")</f>
        <v>——</v>
      </c>
      <c r="I93" s="3063">
        <v>0.25</v>
      </c>
      <c r="J93" s="1909">
        <f t="shared" ref="J93:J101" si="27">K93+$G93</f>
        <v>0</v>
      </c>
      <c r="K93" s="1909">
        <f t="shared" ref="K93:K101" si="28">$L93+$G93</f>
        <v>0</v>
      </c>
      <c r="L93" s="1909">
        <v>0</v>
      </c>
      <c r="M93" s="1909">
        <f t="shared" ref="M93:N101" si="29">L93-$G93</f>
        <v>0</v>
      </c>
      <c r="N93" s="1909">
        <f t="shared" si="29"/>
        <v>0</v>
      </c>
    </row>
    <row r="94" spans="1:37" ht="14.25">
      <c r="A94" s="3075" t="s">
        <v>3268</v>
      </c>
      <c r="B94" s="3066" t="str">
        <f>估价对象房地状况!C18</f>
        <v>较好</v>
      </c>
      <c r="C94" s="1884"/>
      <c r="D94" s="2305">
        <f t="shared" ref="D94:D101" si="30">SUMIF($J$60:$N$60,C94,J94:N94)</f>
        <v>0</v>
      </c>
      <c r="E94" s="3079"/>
      <c r="F94" s="1672"/>
      <c r="G94" s="3069"/>
      <c r="H94" s="3114" t="str">
        <f>IFERROR(ROUNDDOWN($F$93*I94/2,4),"——")</f>
        <v>——</v>
      </c>
      <c r="I94" s="3063">
        <v>0.26</v>
      </c>
      <c r="J94" s="1909">
        <f t="shared" si="27"/>
        <v>0</v>
      </c>
      <c r="K94" s="1909">
        <f t="shared" si="28"/>
        <v>0</v>
      </c>
      <c r="L94" s="1909">
        <v>0</v>
      </c>
      <c r="M94" s="1909">
        <f t="shared" si="29"/>
        <v>0</v>
      </c>
      <c r="N94" s="1909">
        <f t="shared" si="29"/>
        <v>0</v>
      </c>
    </row>
    <row r="95" spans="1:37" ht="36">
      <c r="A95" s="3065" t="s">
        <v>3264</v>
      </c>
      <c r="B95" s="3066">
        <f>估价对象房地状况!C19</f>
        <v>0</v>
      </c>
      <c r="C95" s="1884"/>
      <c r="D95" s="2305">
        <f t="shared" si="30"/>
        <v>0</v>
      </c>
      <c r="E95" s="3079"/>
      <c r="F95" s="1672"/>
      <c r="G95" s="3069"/>
      <c r="H95" s="3114" t="str">
        <f t="shared" ref="H95:H101" si="31">IFERROR(ROUNDDOWN($F$93*I95/2,4),"——")</f>
        <v>——</v>
      </c>
      <c r="I95" s="3063">
        <v>0.11</v>
      </c>
      <c r="J95" s="1909">
        <f t="shared" si="27"/>
        <v>0</v>
      </c>
      <c r="K95" s="1909">
        <f t="shared" si="28"/>
        <v>0</v>
      </c>
      <c r="L95" s="1909">
        <v>0</v>
      </c>
      <c r="M95" s="1909">
        <f t="shared" si="29"/>
        <v>0</v>
      </c>
      <c r="N95" s="1909">
        <f t="shared" si="29"/>
        <v>0</v>
      </c>
    </row>
    <row r="96" spans="1:37" ht="36.75">
      <c r="A96" s="3075" t="s">
        <v>3269</v>
      </c>
      <c r="B96" s="3081" t="s">
        <v>3280</v>
      </c>
      <c r="C96" s="1884"/>
      <c r="D96" s="2305">
        <f t="shared" si="30"/>
        <v>0</v>
      </c>
      <c r="E96" s="3079"/>
      <c r="F96" s="1672"/>
      <c r="G96" s="3069"/>
      <c r="H96" s="3114" t="str">
        <f t="shared" si="31"/>
        <v>——</v>
      </c>
      <c r="I96" s="3063">
        <v>0.05</v>
      </c>
      <c r="J96" s="1909">
        <f t="shared" si="27"/>
        <v>0</v>
      </c>
      <c r="K96" s="1909">
        <f t="shared" si="28"/>
        <v>0</v>
      </c>
      <c r="L96" s="1909">
        <v>0</v>
      </c>
      <c r="M96" s="1909">
        <f t="shared" si="29"/>
        <v>0</v>
      </c>
      <c r="N96" s="1909">
        <f t="shared" si="29"/>
        <v>0</v>
      </c>
    </row>
    <row r="97" spans="1:14" ht="24">
      <c r="A97" s="3075" t="s">
        <v>3270</v>
      </c>
      <c r="B97" s="3066" t="str">
        <f>估价对象房地状况!C24</f>
        <v>次干道-荣京西街</v>
      </c>
      <c r="C97" s="1884"/>
      <c r="D97" s="2305">
        <f t="shared" si="30"/>
        <v>0</v>
      </c>
      <c r="E97" s="3079"/>
      <c r="F97" s="1672"/>
      <c r="G97" s="3069"/>
      <c r="H97" s="3114" t="str">
        <f t="shared" si="31"/>
        <v>——</v>
      </c>
      <c r="I97" s="3063">
        <v>0.05</v>
      </c>
      <c r="J97" s="1909">
        <f t="shared" si="27"/>
        <v>0</v>
      </c>
      <c r="K97" s="1909">
        <f t="shared" si="28"/>
        <v>0</v>
      </c>
      <c r="L97" s="1909">
        <v>0</v>
      </c>
      <c r="M97" s="1909">
        <f t="shared" si="29"/>
        <v>0</v>
      </c>
      <c r="N97" s="1909">
        <f t="shared" si="29"/>
        <v>0</v>
      </c>
    </row>
    <row r="98" spans="1:14" ht="24">
      <c r="A98" s="3075" t="s">
        <v>3271</v>
      </c>
      <c r="B98" s="3082" t="s">
        <v>3281</v>
      </c>
      <c r="C98" s="1884"/>
      <c r="D98" s="2305">
        <f t="shared" si="30"/>
        <v>0</v>
      </c>
      <c r="E98" s="3079"/>
      <c r="F98" s="1672"/>
      <c r="G98" s="3069"/>
      <c r="H98" s="3114" t="str">
        <f t="shared" si="31"/>
        <v>——</v>
      </c>
      <c r="I98" s="3063">
        <v>0.06</v>
      </c>
      <c r="J98" s="1909">
        <f t="shared" si="27"/>
        <v>0</v>
      </c>
      <c r="K98" s="1909">
        <f t="shared" si="28"/>
        <v>0</v>
      </c>
      <c r="L98" s="1909">
        <v>0</v>
      </c>
      <c r="M98" s="1909">
        <f t="shared" si="29"/>
        <v>0</v>
      </c>
      <c r="N98" s="1909">
        <f t="shared" si="29"/>
        <v>0</v>
      </c>
    </row>
    <row r="99" spans="1:14" ht="24">
      <c r="A99" s="3075" t="s">
        <v>3272</v>
      </c>
      <c r="B99" s="3066" t="str">
        <f>估价对象房地状况!C21</f>
        <v>较好</v>
      </c>
      <c r="C99" s="1884"/>
      <c r="D99" s="2305">
        <f t="shared" si="30"/>
        <v>0</v>
      </c>
      <c r="E99" s="3079"/>
      <c r="F99" s="1672"/>
      <c r="G99" s="3069"/>
      <c r="H99" s="3114" t="str">
        <f t="shared" si="31"/>
        <v>——</v>
      </c>
      <c r="I99" s="3063">
        <v>0.06</v>
      </c>
      <c r="J99" s="1909">
        <f t="shared" si="27"/>
        <v>0</v>
      </c>
      <c r="K99" s="1909">
        <f t="shared" si="28"/>
        <v>0</v>
      </c>
      <c r="L99" s="1909">
        <v>0</v>
      </c>
      <c r="M99" s="1909">
        <f t="shared" si="29"/>
        <v>0</v>
      </c>
      <c r="N99" s="1909">
        <f t="shared" si="29"/>
        <v>0</v>
      </c>
    </row>
    <row r="100" spans="1:14" ht="24">
      <c r="A100" s="3075" t="s">
        <v>3273</v>
      </c>
      <c r="B100" s="3066" t="str">
        <f>估价对象房地状况!C22</f>
        <v>七通</v>
      </c>
      <c r="C100" s="1884"/>
      <c r="D100" s="2305">
        <f t="shared" si="30"/>
        <v>0</v>
      </c>
      <c r="E100" s="3079"/>
      <c r="F100" s="1672"/>
      <c r="G100" s="3069"/>
      <c r="H100" s="3114" t="str">
        <f t="shared" si="31"/>
        <v>——</v>
      </c>
      <c r="I100" s="3063">
        <v>0.09</v>
      </c>
      <c r="J100" s="1909">
        <f t="shared" si="27"/>
        <v>0</v>
      </c>
      <c r="K100" s="1909">
        <f t="shared" si="28"/>
        <v>0</v>
      </c>
      <c r="L100" s="1909">
        <v>0</v>
      </c>
      <c r="M100" s="1909">
        <f t="shared" si="29"/>
        <v>0</v>
      </c>
      <c r="N100" s="1909">
        <f t="shared" si="29"/>
        <v>0</v>
      </c>
    </row>
    <row r="101" spans="1:14" ht="26.25" thickBot="1">
      <c r="A101" s="3076" t="s">
        <v>3274</v>
      </c>
      <c r="B101" s="3083" t="str">
        <f>估价对象房地状况!C20</f>
        <v>博大公园、亦庄新城滨河公园，一般</v>
      </c>
      <c r="C101" s="1884"/>
      <c r="D101" s="2305">
        <f t="shared" si="30"/>
        <v>0</v>
      </c>
      <c r="E101" s="3080"/>
      <c r="F101" s="1672"/>
      <c r="G101" s="3069"/>
      <c r="H101" s="3114" t="str">
        <f t="shared" si="31"/>
        <v>——</v>
      </c>
      <c r="I101" s="3064">
        <v>7.0000000000000007E-2</v>
      </c>
      <c r="J101" s="1909">
        <f t="shared" si="27"/>
        <v>0</v>
      </c>
      <c r="K101" s="1909">
        <f t="shared" si="28"/>
        <v>0</v>
      </c>
      <c r="L101" s="1909">
        <v>0</v>
      </c>
      <c r="M101" s="1909">
        <f t="shared" si="29"/>
        <v>0</v>
      </c>
      <c r="N101" s="1909">
        <f t="shared" si="29"/>
        <v>0</v>
      </c>
    </row>
    <row r="103" spans="1:14">
      <c r="A103" s="3374" t="s">
        <v>3289</v>
      </c>
      <c r="B103" s="3374"/>
      <c r="C103" s="3374"/>
      <c r="D103" s="3374"/>
      <c r="E103" s="3374"/>
      <c r="F103" s="3374"/>
      <c r="G103" s="3374"/>
      <c r="H103" s="3374"/>
      <c r="I103" s="3374"/>
      <c r="J103" s="3374"/>
      <c r="K103" s="1664"/>
      <c r="L103" s="1664"/>
      <c r="M103" s="1664"/>
      <c r="N103" s="1664"/>
    </row>
    <row r="104" spans="1:14">
      <c r="A104" s="3375" t="s">
        <v>3290</v>
      </c>
      <c r="B104" s="3375" t="s">
        <v>3291</v>
      </c>
      <c r="C104" s="3085" t="s">
        <v>3292</v>
      </c>
      <c r="D104" s="3086"/>
      <c r="E104" s="3086"/>
      <c r="F104" s="3086"/>
      <c r="G104" s="3086"/>
      <c r="H104" s="3086"/>
      <c r="I104" s="3086"/>
      <c r="J104" s="3087"/>
      <c r="K104" s="3088"/>
      <c r="L104" s="3088"/>
      <c r="M104" s="3088"/>
      <c r="N104" s="3088"/>
    </row>
    <row r="105" spans="1:14">
      <c r="A105" s="3375"/>
      <c r="B105" s="3375"/>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361"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62"/>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62"/>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62"/>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62"/>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62"/>
      <c r="B111" s="3089" t="s">
        <v>3263</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363"/>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364" t="s">
        <v>3306</v>
      </c>
      <c r="B113" s="3364"/>
      <c r="C113" s="3364"/>
      <c r="D113" s="3364"/>
      <c r="E113" s="3364"/>
      <c r="F113" s="3364"/>
      <c r="G113" s="3364"/>
      <c r="H113" s="3364"/>
      <c r="I113" s="3364"/>
      <c r="J113" s="3364"/>
      <c r="K113" s="3091"/>
      <c r="L113" s="3091"/>
      <c r="M113" s="3091"/>
      <c r="N113" s="3091"/>
    </row>
    <row r="114" spans="1:14">
      <c r="A114" s="3092"/>
      <c r="B114" s="3092"/>
      <c r="C114" s="3092"/>
      <c r="D114" s="3092"/>
      <c r="E114" s="3092"/>
      <c r="F114" s="3092"/>
      <c r="G114" s="3092"/>
      <c r="H114" s="3092"/>
      <c r="I114" s="3092"/>
      <c r="J114" s="3092"/>
      <c r="K114" s="1961"/>
      <c r="L114" s="3092"/>
      <c r="M114" s="3092"/>
      <c r="N114" s="3092"/>
    </row>
    <row r="115" spans="1:14" ht="13.5" thickBot="1">
      <c r="A115" s="3092"/>
      <c r="B115" s="3092"/>
      <c r="C115" s="3092"/>
      <c r="D115" s="3092"/>
      <c r="E115" s="3092"/>
      <c r="F115" s="3092"/>
      <c r="G115" s="3092"/>
      <c r="H115" s="3092"/>
      <c r="I115" s="3092"/>
      <c r="J115" s="3092"/>
      <c r="K115" s="1961"/>
      <c r="L115" s="3092"/>
      <c r="M115" s="3092"/>
      <c r="N115" s="3092"/>
    </row>
    <row r="116" spans="1:14" ht="25.5" thickBot="1">
      <c r="A116" s="3093" t="s">
        <v>3307</v>
      </c>
      <c r="B116" s="3109">
        <f>G3</f>
        <v>4.22</v>
      </c>
      <c r="C116" s="3094" t="s">
        <v>3308</v>
      </c>
      <c r="D116" s="3095">
        <f>SUMPRODUCT((A118:A122=F116)*(B117:M117=H116)*B118:M122)</f>
        <v>0.88160000000000005</v>
      </c>
      <c r="E116" s="160" t="s">
        <v>3309</v>
      </c>
      <c r="F116" s="3096" t="str">
        <f>E2</f>
        <v>办公</v>
      </c>
      <c r="G116" s="160" t="s">
        <v>3310</v>
      </c>
      <c r="H116" s="3096" t="str">
        <f>G2</f>
        <v>六级</v>
      </c>
      <c r="I116" s="160"/>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0.95040000000000002</v>
      </c>
      <c r="C118" s="3084">
        <f>B118</f>
        <v>0.95040000000000002</v>
      </c>
      <c r="D118" s="3084">
        <f>ROUND(0.949-0.014*B116,4)</f>
        <v>0.88990000000000002</v>
      </c>
      <c r="E118" s="3084">
        <f>D118</f>
        <v>0.88990000000000002</v>
      </c>
      <c r="F118" s="3084">
        <f>E118</f>
        <v>0.88990000000000002</v>
      </c>
      <c r="G118" s="3084">
        <f>F118</f>
        <v>0.88990000000000002</v>
      </c>
      <c r="H118" s="3084">
        <f>G118</f>
        <v>0.88990000000000002</v>
      </c>
      <c r="I118" s="3084">
        <f>ROUND(0.8486-0.018*B116,4)</f>
        <v>0.77259999999999995</v>
      </c>
      <c r="J118" s="3084">
        <f t="shared" ref="J118:M122" si="35">I118</f>
        <v>0.77259999999999995</v>
      </c>
      <c r="K118" s="3084">
        <f t="shared" si="35"/>
        <v>0.77259999999999995</v>
      </c>
      <c r="L118" s="3084">
        <f t="shared" si="35"/>
        <v>0.77259999999999995</v>
      </c>
      <c r="M118" s="3104">
        <f t="shared" si="35"/>
        <v>0.77259999999999995</v>
      </c>
      <c r="N118" s="3092"/>
    </row>
    <row r="119" spans="1:14">
      <c r="A119" s="3052" t="s">
        <v>3324</v>
      </c>
      <c r="B119" s="3084">
        <f>ROUND(0.993-0.0112*B116,4)</f>
        <v>0.94569999999999999</v>
      </c>
      <c r="C119" s="3084">
        <f>B119</f>
        <v>0.94569999999999999</v>
      </c>
      <c r="D119" s="3084">
        <f>ROUND(0.9415-0.0142*B116,4)</f>
        <v>0.88160000000000005</v>
      </c>
      <c r="E119" s="3084">
        <f t="shared" ref="E119:H120" si="36">D119</f>
        <v>0.88160000000000005</v>
      </c>
      <c r="F119" s="3084">
        <f t="shared" si="36"/>
        <v>0.88160000000000005</v>
      </c>
      <c r="G119" s="3084">
        <f t="shared" si="36"/>
        <v>0.88160000000000005</v>
      </c>
      <c r="H119" s="3084">
        <f t="shared" si="36"/>
        <v>0.88160000000000005</v>
      </c>
      <c r="I119" s="3084">
        <f>ROUND(0.838-0.0182*B116,4)</f>
        <v>0.76119999999999999</v>
      </c>
      <c r="J119" s="3084">
        <f t="shared" si="35"/>
        <v>0.76119999999999999</v>
      </c>
      <c r="K119" s="3084">
        <f t="shared" si="35"/>
        <v>0.76119999999999999</v>
      </c>
      <c r="L119" s="3084">
        <f t="shared" si="35"/>
        <v>0.76119999999999999</v>
      </c>
      <c r="M119" s="3104">
        <f t="shared" si="35"/>
        <v>0.76119999999999999</v>
      </c>
      <c r="N119" s="3092"/>
    </row>
    <row r="120" spans="1:14">
      <c r="A120" s="3052" t="s">
        <v>3325</v>
      </c>
      <c r="B120" s="3084">
        <f>ROUND(0.9448-0.0115*B116,4)</f>
        <v>0.89629999999999999</v>
      </c>
      <c r="C120" s="3084">
        <f>B120</f>
        <v>0.89629999999999999</v>
      </c>
      <c r="D120" s="3084">
        <f>ROUND(0.937-0.0145*B116,4)</f>
        <v>0.87580000000000002</v>
      </c>
      <c r="E120" s="3084">
        <f t="shared" si="36"/>
        <v>0.87580000000000002</v>
      </c>
      <c r="F120" s="3084">
        <f t="shared" si="36"/>
        <v>0.87580000000000002</v>
      </c>
      <c r="G120" s="3084">
        <f t="shared" si="36"/>
        <v>0.87580000000000002</v>
      </c>
      <c r="H120" s="3084">
        <f t="shared" si="36"/>
        <v>0.87580000000000002</v>
      </c>
      <c r="I120" s="3084">
        <f>ROUND(0.7965-0.0185*B116,4)</f>
        <v>0.71840000000000004</v>
      </c>
      <c r="J120" s="3084">
        <f t="shared" si="35"/>
        <v>0.71840000000000004</v>
      </c>
      <c r="K120" s="3084">
        <f t="shared" si="35"/>
        <v>0.71840000000000004</v>
      </c>
      <c r="L120" s="3084">
        <f t="shared" si="35"/>
        <v>0.71840000000000004</v>
      </c>
      <c r="M120" s="3104">
        <f t="shared" si="35"/>
        <v>0.71840000000000004</v>
      </c>
      <c r="N120" s="3092"/>
    </row>
    <row r="121" spans="1:14" ht="13.5" thickBot="1">
      <c r="A121" s="3105" t="s">
        <v>3326</v>
      </c>
      <c r="B121" s="3106">
        <f>ROUND(0.7836-0.012*B116,4)</f>
        <v>0.73299999999999998</v>
      </c>
      <c r="C121" s="3106">
        <f>B121</f>
        <v>0.73299999999999998</v>
      </c>
      <c r="D121" s="3106">
        <f>ROUND(0.753-0.015*B116,4)</f>
        <v>0.68969999999999998</v>
      </c>
      <c r="E121" s="3106">
        <f>D121</f>
        <v>0.68969999999999998</v>
      </c>
      <c r="F121" s="3106">
        <f>E121</f>
        <v>0.68969999999999998</v>
      </c>
      <c r="G121" s="3106">
        <f>ROUND(0.6612-0.018*B116,4)</f>
        <v>0.58520000000000005</v>
      </c>
      <c r="H121" s="3106">
        <f>G121</f>
        <v>0.58520000000000005</v>
      </c>
      <c r="I121" s="3106">
        <f>ROUND(0.5905-0.019*B116,4)</f>
        <v>0.51029999999999998</v>
      </c>
      <c r="J121" s="3106">
        <f t="shared" si="35"/>
        <v>0.51029999999999998</v>
      </c>
      <c r="K121" s="3106">
        <f t="shared" si="35"/>
        <v>0.51029999999999998</v>
      </c>
      <c r="L121" s="3106">
        <f t="shared" si="35"/>
        <v>0.51029999999999998</v>
      </c>
      <c r="M121" s="3107">
        <f t="shared" si="35"/>
        <v>0.51029999999999998</v>
      </c>
      <c r="N121" s="3092"/>
    </row>
    <row r="122" spans="1:14">
      <c r="A122" s="3108" t="s">
        <v>2608</v>
      </c>
      <c r="B122" s="3084">
        <f>ROUND(0.9404-0.0106*B116,4)</f>
        <v>0.89570000000000005</v>
      </c>
      <c r="C122" s="3084">
        <f>B122</f>
        <v>0.89570000000000005</v>
      </c>
      <c r="D122" s="3084">
        <f>ROUND(0.8955-0.0135*B116,4)</f>
        <v>0.83850000000000002</v>
      </c>
      <c r="E122" s="3084">
        <f t="shared" ref="E122:H122" si="37">D122</f>
        <v>0.83850000000000002</v>
      </c>
      <c r="F122" s="3084">
        <f t="shared" si="37"/>
        <v>0.83850000000000002</v>
      </c>
      <c r="G122" s="3084">
        <f t="shared" si="37"/>
        <v>0.83850000000000002</v>
      </c>
      <c r="H122" s="3084">
        <f t="shared" si="37"/>
        <v>0.83850000000000002</v>
      </c>
      <c r="I122" s="3084">
        <f>ROUND(0.7632-0.0166*B116,4)</f>
        <v>0.69310000000000005</v>
      </c>
      <c r="J122" s="3084">
        <f t="shared" si="35"/>
        <v>0.69310000000000005</v>
      </c>
      <c r="K122" s="3084">
        <f t="shared" si="35"/>
        <v>0.69310000000000005</v>
      </c>
      <c r="L122" s="3084">
        <f t="shared" si="35"/>
        <v>0.69310000000000005</v>
      </c>
      <c r="M122" s="3104">
        <f t="shared" si="35"/>
        <v>0.69310000000000005</v>
      </c>
      <c r="N122" s="30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36" sqref="K36"/>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7</v>
      </c>
    </row>
    <row r="2" spans="1:9" s="190" customFormat="1" ht="18" customHeight="1">
      <c r="A2" s="191" t="s">
        <v>1462</v>
      </c>
      <c r="B2" s="192">
        <f ca="1">IF(D2="——",C52,C52-E2)</f>
        <v>137535</v>
      </c>
      <c r="C2" s="189" t="s">
        <v>1463</v>
      </c>
      <c r="D2" s="1708" t="s">
        <v>43</v>
      </c>
      <c r="E2" s="1086"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20472</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55933</v>
      </c>
      <c r="D5" s="201" t="s">
        <v>1469</v>
      </c>
      <c r="E5" s="202" t="s">
        <v>1470</v>
      </c>
      <c r="F5" s="202" t="s">
        <v>1471</v>
      </c>
      <c r="G5" s="203"/>
    </row>
    <row r="6" spans="1:9" s="204" customFormat="1" ht="13.5" customHeight="1">
      <c r="A6" s="729" t="s">
        <v>1472</v>
      </c>
      <c r="B6" s="205" t="s">
        <v>1473</v>
      </c>
      <c r="C6" s="206">
        <f>基准地价修正!B2</f>
        <v>52973</v>
      </c>
      <c r="D6" s="207"/>
      <c r="E6" s="208"/>
      <c r="F6" s="208"/>
      <c r="G6" s="209"/>
    </row>
    <row r="7" spans="1:9" s="204" customFormat="1" ht="13.5" customHeight="1">
      <c r="A7" s="729" t="s">
        <v>1474</v>
      </c>
      <c r="B7" s="205" t="s">
        <v>1475</v>
      </c>
      <c r="C7" s="210">
        <f>ROUND(C6*F7,0)</f>
        <v>1616</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1344</v>
      </c>
      <c r="D8" s="212"/>
      <c r="E8" s="210"/>
      <c r="F8" s="211"/>
      <c r="G8" s="1711" t="s">
        <v>3498</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0</v>
      </c>
      <c r="F9" s="211"/>
      <c r="G9" s="1712" t="s">
        <v>3499</v>
      </c>
      <c r="H9" s="1067"/>
      <c r="I9" s="1713" t="s">
        <v>1479</v>
      </c>
    </row>
    <row r="10" spans="1:9" s="204" customFormat="1" ht="13.5" customHeight="1">
      <c r="A10" s="730" t="s">
        <v>356</v>
      </c>
      <c r="B10" s="214" t="s">
        <v>1480</v>
      </c>
      <c r="C10" s="215">
        <f ca="1">ROUND(D10*E10/10000,0)</f>
        <v>1344</v>
      </c>
      <c r="D10" s="792">
        <f ca="1">IF(B1="",'数据-汇总表'!E6,IF(INDIRECT("'数据-取费表'!c"&amp;$G$1)="住宅",INDIRECT("'数据-取费表'!s"&amp;$G$1),INDIRECT("'数据-取费表'!k"&amp;$G$1)+INDIRECT("'数据-取费表'!s"&amp;$G$1)))</f>
        <v>67180.950000000026</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67180.950000000026</v>
      </c>
      <c r="E19" s="201">
        <f>'数据-取费表'!B31</f>
        <v>200</v>
      </c>
      <c r="F19" s="221"/>
      <c r="G19" s="1711" t="s">
        <v>3509</v>
      </c>
    </row>
    <row r="20" spans="1:7" s="204" customFormat="1" ht="13.5" customHeight="1">
      <c r="A20" s="245" t="s">
        <v>1493</v>
      </c>
      <c r="B20" s="200" t="s">
        <v>1494</v>
      </c>
      <c r="C20" s="222">
        <f>ROUND((C5+C19)*F20,0)</f>
        <v>2237</v>
      </c>
      <c r="D20" s="222"/>
      <c r="E20" s="222"/>
      <c r="F20" s="223">
        <f>'数据-取费表'!B37</f>
        <v>0.04</v>
      </c>
      <c r="G20" s="224" t="s">
        <v>1495</v>
      </c>
    </row>
    <row r="21" spans="1:7" s="204" customFormat="1" ht="13.5" customHeight="1">
      <c r="A21" s="245" t="s">
        <v>1496</v>
      </c>
      <c r="B21" s="200" t="s">
        <v>1497</v>
      </c>
      <c r="C21" s="225">
        <f>F21</f>
        <v>2.5000000000000001E-2</v>
      </c>
      <c r="D21" s="226" t="s">
        <v>1498</v>
      </c>
      <c r="E21" s="222"/>
      <c r="F21" s="223">
        <f>'数据-取费表'!B38</f>
        <v>2.5000000000000001E-2</v>
      </c>
      <c r="G21" s="224" t="s">
        <v>1499</v>
      </c>
    </row>
    <row r="22" spans="1:7" s="204" customFormat="1" ht="13.5" customHeight="1">
      <c r="A22" s="245" t="s">
        <v>1500</v>
      </c>
      <c r="B22" s="200" t="s">
        <v>1501</v>
      </c>
      <c r="C22" s="1038">
        <f ca="1">ROUND(SUM(C23:C25),0)</f>
        <v>5470</v>
      </c>
      <c r="D22" s="225">
        <f ca="1">C26</f>
        <v>1.1999999999999999E-3</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5365</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105</v>
      </c>
      <c r="D25" s="228"/>
      <c r="E25" s="231"/>
      <c r="F25" s="229"/>
      <c r="G25" s="232" t="s">
        <v>1510</v>
      </c>
    </row>
    <row r="26" spans="1:7" s="204" customFormat="1">
      <c r="A26" s="731" t="s">
        <v>350</v>
      </c>
      <c r="B26" s="205" t="s">
        <v>1511</v>
      </c>
      <c r="C26" s="228">
        <f ca="1">ROUND(IF('数据-取费表'!B22&lt;=1,F21*F22*'数据-取费表'!B23/2,F21*(POWER((1+F22),'数据-取费表'!B23/2)-1)),4)</f>
        <v>1.1999999999999999E-3</v>
      </c>
      <c r="D26" s="228"/>
      <c r="E26" s="231"/>
      <c r="F26" s="229"/>
      <c r="G26" s="233"/>
    </row>
    <row r="27" spans="1:7" s="204" customFormat="1" ht="24.75">
      <c r="A27" s="245" t="s">
        <v>1512</v>
      </c>
      <c r="B27" s="234" t="s">
        <v>1513</v>
      </c>
      <c r="C27" s="235">
        <f ca="1">C28</f>
        <v>11634</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ROUND((C5+C19+C20)*F27*'数据-取费表'!B21/'数据-取费表'!B20,0)</f>
        <v>11634</v>
      </c>
      <c r="D28" s="225"/>
      <c r="E28" s="226"/>
      <c r="F28" s="236"/>
      <c r="G28" s="237"/>
    </row>
    <row r="29" spans="1:7" s="204" customFormat="1" ht="13.5" customHeight="1">
      <c r="A29" s="731"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82222</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46490</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40309</v>
      </c>
      <c r="D34" s="207"/>
      <c r="E34" s="210"/>
      <c r="F34" s="247">
        <f ca="1">IF('数据-取费表'!B24=0,1,IF(B1="",'数据-取费表'!N16,INDIRECT("'数据-取费表'!n"&amp;$G$1)))</f>
        <v>1</v>
      </c>
      <c r="G34" s="209" t="s">
        <v>1526</v>
      </c>
    </row>
    <row r="35" spans="1:7" ht="13.5" customHeight="1">
      <c r="A35" s="731" t="s">
        <v>351</v>
      </c>
      <c r="B35" s="205" t="s">
        <v>1527</v>
      </c>
      <c r="C35" s="210">
        <f ca="1">ROUND(C34*F35,0)</f>
        <v>4031</v>
      </c>
      <c r="D35" s="210"/>
      <c r="E35" s="210"/>
      <c r="F35" s="249">
        <f>'数据-取费表'!B33</f>
        <v>0.1</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1344</v>
      </c>
      <c r="D37" s="207">
        <f ca="1">D19</f>
        <v>67180.950000000026</v>
      </c>
      <c r="E37" s="239">
        <f>'数据-取费表'!B35</f>
        <v>200</v>
      </c>
      <c r="F37" s="249"/>
      <c r="G37" s="251" t="s">
        <v>1532</v>
      </c>
    </row>
    <row r="38" spans="1:7" ht="13.5" customHeight="1">
      <c r="A38" s="731" t="s">
        <v>354</v>
      </c>
      <c r="B38" s="205" t="s">
        <v>1533</v>
      </c>
      <c r="C38" s="210">
        <f ca="1">ROUND(C34*F38,0)</f>
        <v>806</v>
      </c>
      <c r="D38" s="210"/>
      <c r="E38" s="210"/>
      <c r="F38" s="249">
        <f>'数据-取费表'!B36</f>
        <v>0.02</v>
      </c>
      <c r="G38" s="209" t="s">
        <v>1528</v>
      </c>
    </row>
    <row r="39" spans="1:7" s="204" customFormat="1" ht="13.5" customHeight="1">
      <c r="A39" s="245" t="s">
        <v>1534</v>
      </c>
      <c r="B39" s="200" t="s">
        <v>1535</v>
      </c>
      <c r="C39" s="222">
        <f ca="1">ROUND(C33*F20,0)</f>
        <v>1860</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2265</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2178</v>
      </c>
      <c r="D42" s="228"/>
      <c r="E42" s="228"/>
      <c r="F42" s="229"/>
      <c r="G42" s="3380" t="s">
        <v>1544</v>
      </c>
    </row>
    <row r="43" spans="1:7" ht="13.5" customHeight="1">
      <c r="A43" s="731" t="s">
        <v>347</v>
      </c>
      <c r="B43" s="205" t="s">
        <v>1545</v>
      </c>
      <c r="C43" s="228">
        <f ca="1">ROUND(IF('数据-取费表'!B22&lt;=1,C39*F22*'数据-取费表'!B21/2,C39*(POWER((1+F22),'数据-取费表'!B21/2)-1)),0)</f>
        <v>87</v>
      </c>
      <c r="D43" s="228"/>
      <c r="E43" s="228"/>
      <c r="F43" s="229"/>
      <c r="G43" s="3381"/>
    </row>
    <row r="44" spans="1:7" ht="13.5" customHeight="1">
      <c r="A44" s="731" t="s">
        <v>348</v>
      </c>
      <c r="B44" s="205" t="s">
        <v>1546</v>
      </c>
      <c r="C44" s="228">
        <f ca="1">ROUND(IF('数据-取费表'!B22&lt;=1,C40*F22*'数据-取费表'!B21/2,C40*(POWER((1+F22),'数据-取费表'!B21/2)-1)),4)</f>
        <v>1.1999999999999999E-3</v>
      </c>
      <c r="D44" s="228"/>
      <c r="E44" s="228"/>
      <c r="F44" s="229"/>
      <c r="G44" s="3382"/>
    </row>
    <row r="45" spans="1:7" s="204" customFormat="1" ht="13.5" customHeight="1">
      <c r="A45" s="245" t="s">
        <v>1547</v>
      </c>
      <c r="B45" s="234" t="s">
        <v>1513</v>
      </c>
      <c r="C45" s="235">
        <f ca="1">C46</f>
        <v>9670</v>
      </c>
      <c r="D45" s="225">
        <f ca="1">C47</f>
        <v>5.0000000000000001E-3</v>
      </c>
      <c r="E45" s="226" t="s">
        <v>1539</v>
      </c>
      <c r="F45" s="236">
        <f ca="1">F27</f>
        <v>0.2</v>
      </c>
      <c r="G45" s="237" t="s">
        <v>1548</v>
      </c>
    </row>
    <row r="46" spans="1:7" s="204" customFormat="1" ht="13.5" customHeight="1">
      <c r="A46" s="731" t="s">
        <v>346</v>
      </c>
      <c r="B46" s="238" t="s">
        <v>1549</v>
      </c>
      <c r="C46" s="239">
        <f ca="1">ROUND((C33+C39)*F27,0)</f>
        <v>9670</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65849</v>
      </c>
      <c r="D49" s="222"/>
      <c r="E49" s="222"/>
      <c r="F49" s="254"/>
      <c r="G49" s="224" t="s">
        <v>1554</v>
      </c>
    </row>
    <row r="50" spans="1:7" s="248" customFormat="1" ht="24">
      <c r="A50" s="245" t="s">
        <v>1555</v>
      </c>
      <c r="B50" s="200" t="s">
        <v>1556</v>
      </c>
      <c r="C50" s="222"/>
      <c r="D50" s="222"/>
      <c r="E50" s="222"/>
      <c r="F50" s="254">
        <f>IF('数据-取费表'!B24=0,'数据-取费表'!N16,1)</f>
        <v>0.84</v>
      </c>
      <c r="G50" s="237" t="s">
        <v>1557</v>
      </c>
    </row>
    <row r="51" spans="1:7" ht="16.5" customHeight="1">
      <c r="A51" s="245" t="s">
        <v>1558</v>
      </c>
      <c r="B51" s="200" t="s">
        <v>1559</v>
      </c>
      <c r="C51" s="222">
        <f ca="1">ROUND(C49*F50,0)</f>
        <v>55313</v>
      </c>
      <c r="D51" s="222"/>
      <c r="E51" s="222"/>
      <c r="F51" s="254"/>
      <c r="G51" s="224" t="s">
        <v>1560</v>
      </c>
    </row>
    <row r="52" spans="1:7" s="198" customFormat="1" ht="16.5" thickBot="1">
      <c r="A52" s="255" t="s">
        <v>1561</v>
      </c>
      <c r="B52" s="256"/>
      <c r="C52" s="257">
        <f ca="1">C31+C51</f>
        <v>137535</v>
      </c>
      <c r="D52" s="256"/>
      <c r="E52" s="256"/>
      <c r="F52" s="256"/>
      <c r="G52" s="258"/>
    </row>
    <row r="55" spans="1:7" ht="15">
      <c r="B55" s="260" t="s">
        <v>1562</v>
      </c>
      <c r="C55" s="261"/>
    </row>
    <row r="56" spans="1:7">
      <c r="B56" s="263" t="s">
        <v>802</v>
      </c>
      <c r="C56" s="265">
        <f ca="1">1-C57</f>
        <v>0.59799999999999998</v>
      </c>
    </row>
    <row r="57" spans="1:7">
      <c r="B57" s="263" t="s">
        <v>803</v>
      </c>
      <c r="C57" s="264">
        <f ca="1">ROUND(C51/C52,3)</f>
        <v>0.40200000000000002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4" t="s">
        <v>1563</v>
      </c>
      <c r="D1" s="188"/>
      <c r="E1" s="188"/>
      <c r="F1" s="188"/>
      <c r="G1" s="1059">
        <f>MATCH(B1,'数据-取费表'!A6:A16,0)+5</f>
        <v>7</v>
      </c>
      <c r="H1" s="995" t="str">
        <f>IF(ISERROR(FIND("住宅",B1)),"非住宅","住宅")</f>
        <v>非住宅</v>
      </c>
    </row>
    <row r="2" spans="1:8" s="190" customFormat="1" ht="18" customHeight="1">
      <c r="A2" s="191" t="s">
        <v>1462</v>
      </c>
      <c r="B2" s="3117">
        <f ca="1">ROUND(IF(D2="——",C52/10000,C52/10000-E2),4)</f>
        <v>59262.7978</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8821</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13436190</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13436190</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0</v>
      </c>
      <c r="F9" s="211"/>
      <c r="G9" s="216"/>
    </row>
    <row r="10" spans="1:8" s="204" customFormat="1" ht="13.5" customHeight="1">
      <c r="A10" s="730" t="s">
        <v>356</v>
      </c>
      <c r="B10" s="214" t="s">
        <v>1480</v>
      </c>
      <c r="C10" s="215">
        <f ca="1">ROUND(D10*E10,0)</f>
        <v>13436190</v>
      </c>
      <c r="D10" s="792">
        <f ca="1">IF(B1="",'数据-汇总表'!E6,IF(INDIRECT("'数据-取费表'!c"&amp;$G$1)="住宅",INDIRECT("'数据-取费表'!s"&amp;$G$1),INDIRECT("'数据-取费表'!k"&amp;$G$1)+INDIRECT("'数据-取费表'!s"&amp;$G$1)))</f>
        <v>67180.950000000026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13436190</v>
      </c>
      <c r="D19" s="202">
        <f ca="1">D9+D10</f>
        <v>67180.950000000026</v>
      </c>
      <c r="E19" s="201">
        <f>'数据-取费表'!B31</f>
        <v>200</v>
      </c>
      <c r="F19" s="221"/>
      <c r="G19" s="1711"/>
    </row>
    <row r="20" spans="1:7" s="204" customFormat="1" ht="13.5" customHeight="1">
      <c r="A20" s="245" t="s">
        <v>1574</v>
      </c>
      <c r="B20" s="200" t="s">
        <v>1575</v>
      </c>
      <c r="C20" s="222">
        <f ca="1">ROUND((C5+C19)*F20,0)</f>
        <v>1074895</v>
      </c>
      <c r="D20" s="222"/>
      <c r="E20" s="222"/>
      <c r="F20" s="223">
        <f>'数据-取费表'!B37</f>
        <v>0.04</v>
      </c>
      <c r="G20" s="224" t="s">
        <v>1576</v>
      </c>
    </row>
    <row r="21" spans="1:7" s="204" customFormat="1" ht="13.5" customHeight="1">
      <c r="A21" s="245" t="s">
        <v>1577</v>
      </c>
      <c r="B21" s="200" t="s">
        <v>1578</v>
      </c>
      <c r="C21" s="225">
        <f>F21</f>
        <v>2.5000000000000001E-2</v>
      </c>
      <c r="D21" s="226" t="s">
        <v>1579</v>
      </c>
      <c r="E21" s="222"/>
      <c r="F21" s="223">
        <f>'数据-取费表'!B38</f>
        <v>2.5000000000000001E-2</v>
      </c>
      <c r="G21" s="224" t="s">
        <v>1580</v>
      </c>
    </row>
    <row r="22" spans="1:7" s="204" customFormat="1" ht="13.5" customHeight="1">
      <c r="A22" s="245" t="s">
        <v>1581</v>
      </c>
      <c r="B22" s="200" t="s">
        <v>1582</v>
      </c>
      <c r="C22" s="222">
        <f ca="1">ROUND(SUM(C23:C25),0)</f>
        <v>2627772</v>
      </c>
      <c r="D22" s="225">
        <f ca="1">C26</f>
        <v>1.1999999999999999E-3</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1288702</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1288702</v>
      </c>
      <c r="D24" s="228"/>
      <c r="E24" s="228"/>
      <c r="F24" s="229"/>
      <c r="G24" s="230" t="s">
        <v>1586</v>
      </c>
    </row>
    <row r="25" spans="1:7" s="204" customFormat="1" ht="24">
      <c r="A25" s="731" t="s">
        <v>1476</v>
      </c>
      <c r="B25" s="205" t="s">
        <v>1587</v>
      </c>
      <c r="C25" s="228">
        <f ca="1">ROUND(IF('数据-取费表'!B22&lt;=1,C20*F22*'数据-取费表'!B22/2,C20*(POWER((1+F22),'数据-取费表'!B22/2)-1)),0)</f>
        <v>50368</v>
      </c>
      <c r="D25" s="228"/>
      <c r="E25" s="231"/>
      <c r="F25" s="229"/>
      <c r="G25" s="232" t="s">
        <v>1588</v>
      </c>
    </row>
    <row r="26" spans="1:7" s="204" customFormat="1">
      <c r="A26" s="731" t="s">
        <v>350</v>
      </c>
      <c r="B26" s="205" t="s">
        <v>1511</v>
      </c>
      <c r="C26" s="228">
        <f ca="1">ROUND(IF('数据-取费表'!B22&lt;=1,F21*F22*'数据-取费表'!B22/2,F21*(POWER((1+F22),'数据-取费表'!B22/2)-1)),4)</f>
        <v>1.1999999999999999E-3</v>
      </c>
      <c r="D26" s="228"/>
      <c r="E26" s="231"/>
      <c r="F26" s="229"/>
      <c r="G26" s="233"/>
    </row>
    <row r="27" spans="1:7" s="204" customFormat="1" ht="24.75">
      <c r="A27" s="245" t="s">
        <v>1512</v>
      </c>
      <c r="B27" s="234" t="s">
        <v>1513</v>
      </c>
      <c r="C27" s="235">
        <f ca="1">C28</f>
        <v>5589455</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ROUND((C5+C19+C20)*F27,0)</f>
        <v>5589455</v>
      </c>
      <c r="D28" s="225"/>
      <c r="E28" s="226"/>
      <c r="F28" s="236"/>
      <c r="G28" s="237"/>
    </row>
    <row r="29" spans="1:7" s="204" customFormat="1" ht="13.5" customHeight="1">
      <c r="A29" s="731"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39502460</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464892174</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403085700</v>
      </c>
      <c r="D34" s="207"/>
      <c r="E34" s="210"/>
      <c r="F34" s="247"/>
      <c r="G34" s="209"/>
    </row>
    <row r="35" spans="1:7" ht="13.5" customHeight="1">
      <c r="A35" s="731" t="s">
        <v>351</v>
      </c>
      <c r="B35" s="205" t="s">
        <v>1527</v>
      </c>
      <c r="C35" s="210">
        <f ca="1">ROUND(C34*F35,0)</f>
        <v>40308570</v>
      </c>
      <c r="D35" s="210"/>
      <c r="E35" s="210"/>
      <c r="F35" s="249">
        <f>'数据-取费表'!B33</f>
        <v>0.1</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13436190</v>
      </c>
      <c r="D37" s="207">
        <f ca="1">D19</f>
        <v>67180.950000000026</v>
      </c>
      <c r="E37" s="239">
        <f>'数据-取费表'!B35</f>
        <v>200</v>
      </c>
      <c r="F37" s="249"/>
      <c r="G37" s="251"/>
    </row>
    <row r="38" spans="1:7" ht="13.5" customHeight="1">
      <c r="A38" s="731" t="s">
        <v>354</v>
      </c>
      <c r="B38" s="205" t="s">
        <v>1533</v>
      </c>
      <c r="C38" s="210">
        <f ca="1">ROUND(C34*F38,0)</f>
        <v>8061714</v>
      </c>
      <c r="D38" s="210"/>
      <c r="E38" s="210"/>
      <c r="F38" s="249">
        <f>'数据-取费表'!B36</f>
        <v>0.02</v>
      </c>
      <c r="G38" s="209" t="s">
        <v>1528</v>
      </c>
    </row>
    <row r="39" spans="1:7" s="204" customFormat="1" ht="13.5" customHeight="1">
      <c r="A39" s="245" t="s">
        <v>1534</v>
      </c>
      <c r="B39" s="200" t="s">
        <v>1535</v>
      </c>
      <c r="C39" s="222">
        <f ca="1">ROUND(C33*F20,0)</f>
        <v>18595687</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22655533</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21784166</v>
      </c>
      <c r="D42" s="228"/>
      <c r="E42" s="228"/>
      <c r="F42" s="229"/>
      <c r="G42" s="3380" t="s">
        <v>1591</v>
      </c>
    </row>
    <row r="43" spans="1:7" ht="13.5" customHeight="1">
      <c r="A43" s="731" t="s">
        <v>347</v>
      </c>
      <c r="B43" s="205" t="s">
        <v>1545</v>
      </c>
      <c r="C43" s="228">
        <f ca="1">ROUND(IF('数据-取费表'!B22&lt;=1,C39*F22*'数据-取费表'!B20/2,C39*(POWER((1+F22),'数据-取费表'!B20/2)-1)),0)</f>
        <v>871367</v>
      </c>
      <c r="D43" s="228"/>
      <c r="E43" s="228"/>
      <c r="F43" s="229"/>
      <c r="G43" s="3381"/>
    </row>
    <row r="44" spans="1:7" ht="13.5" customHeight="1">
      <c r="A44" s="731" t="s">
        <v>348</v>
      </c>
      <c r="B44" s="205" t="s">
        <v>1546</v>
      </c>
      <c r="C44" s="228">
        <f ca="1">ROUND(IF('数据-取费表'!B22&lt;=1,C40*F22*'数据-取费表'!B20/2,C40*(POWER((1+F22),'数据-取费表'!B20/2)-1)),4)</f>
        <v>1.1999999999999999E-3</v>
      </c>
      <c r="D44" s="228"/>
      <c r="E44" s="228"/>
      <c r="F44" s="229"/>
      <c r="G44" s="3382"/>
    </row>
    <row r="45" spans="1:7" s="204" customFormat="1" ht="13.5" customHeight="1">
      <c r="A45" s="245" t="s">
        <v>1547</v>
      </c>
      <c r="B45" s="234" t="s">
        <v>1513</v>
      </c>
      <c r="C45" s="235">
        <f ca="1">C46</f>
        <v>96697572</v>
      </c>
      <c r="D45" s="225">
        <f ca="1">C47</f>
        <v>5.0000000000000001E-3</v>
      </c>
      <c r="E45" s="226" t="s">
        <v>1539</v>
      </c>
      <c r="F45" s="236">
        <f ca="1">F27</f>
        <v>0.2</v>
      </c>
      <c r="G45" s="237" t="s">
        <v>1548</v>
      </c>
    </row>
    <row r="46" spans="1:7" s="204" customFormat="1" ht="13.5" customHeight="1">
      <c r="A46" s="731" t="s">
        <v>346</v>
      </c>
      <c r="B46" s="238" t="s">
        <v>1549</v>
      </c>
      <c r="C46" s="239">
        <f ca="1">ROUND((C33+C39)*F27,0)</f>
        <v>96697572</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658482759</v>
      </c>
      <c r="D49" s="222"/>
      <c r="E49" s="222"/>
      <c r="F49" s="254"/>
      <c r="G49" s="224" t="s">
        <v>1554</v>
      </c>
    </row>
    <row r="50" spans="1:7" s="248" customFormat="1">
      <c r="A50" s="245" t="s">
        <v>1555</v>
      </c>
      <c r="B50" s="200" t="s">
        <v>1556</v>
      </c>
      <c r="C50" s="222"/>
      <c r="D50" s="222"/>
      <c r="E50" s="222"/>
      <c r="F50" s="254">
        <f>IF('数据-取费表'!B24=0,'数据-取费表'!N16,1)</f>
        <v>0.84</v>
      </c>
      <c r="G50" s="237"/>
    </row>
    <row r="51" spans="1:7" ht="16.5" customHeight="1">
      <c r="A51" s="245" t="s">
        <v>1558</v>
      </c>
      <c r="B51" s="200" t="s">
        <v>1593</v>
      </c>
      <c r="C51" s="222">
        <f ca="1">ROUND(C49*F50,0)</f>
        <v>553125518</v>
      </c>
      <c r="D51" s="222"/>
      <c r="E51" s="222"/>
      <c r="F51" s="254"/>
      <c r="G51" s="224" t="s">
        <v>1560</v>
      </c>
    </row>
    <row r="52" spans="1:7" s="198" customFormat="1" ht="16.5" thickBot="1">
      <c r="A52" s="255" t="s">
        <v>1561</v>
      </c>
      <c r="B52" s="256"/>
      <c r="C52" s="257">
        <f ca="1">C31+C51</f>
        <v>592627978</v>
      </c>
      <c r="D52" s="256"/>
      <c r="E52" s="256"/>
      <c r="F52" s="256"/>
      <c r="G52" s="258"/>
    </row>
    <row r="55" spans="1:7" ht="15">
      <c r="B55" s="260" t="s">
        <v>1562</v>
      </c>
      <c r="C55" s="261"/>
    </row>
    <row r="56" spans="1:7">
      <c r="B56" s="263" t="s">
        <v>802</v>
      </c>
      <c r="C56" s="265">
        <f ca="1">1-C57</f>
        <v>6.6999999999999948E-2</v>
      </c>
    </row>
    <row r="57" spans="1:7">
      <c r="B57" s="263" t="s">
        <v>803</v>
      </c>
      <c r="C57" s="26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3"/>
      <c r="D8" s="773"/>
      <c r="E8" s="773"/>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0.1</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67180.950000000026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67180.950000000026</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0</v>
      </c>
      <c r="F19" s="753"/>
      <c r="G19" s="12"/>
      <c r="H19" s="1105"/>
      <c r="I19" s="758"/>
      <c r="J19" s="758"/>
      <c r="K19" s="759"/>
    </row>
    <row r="20" spans="1:33" s="752" customFormat="1" ht="13.5" customHeight="1">
      <c r="A20" s="749" t="s">
        <v>361</v>
      </c>
      <c r="B20" s="750" t="s">
        <v>1627</v>
      </c>
      <c r="C20" s="21">
        <f ca="1">ROUND(D20*E20/10000,0)</f>
        <v>1344</v>
      </c>
      <c r="D20" s="793">
        <f ca="1">IF(C1="",'数据-汇总表'!E6,IF(INDIRECT("'数据-取费表'!c"&amp;$K$1)="住宅",INDIRECT("'数据-取费表'!s"&amp;$K$1),INDIRECT("'数据-取费表'!k"&amp;$K$1)+INDIRECT("'数据-取费表'!s"&amp;$K$1)))</f>
        <v>67180.950000000026</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0.04</v>
      </c>
      <c r="G22" s="5" t="s">
        <v>1631</v>
      </c>
      <c r="H22" s="746"/>
      <c r="I22" s="746"/>
      <c r="J22" s="746"/>
      <c r="K22" s="747"/>
    </row>
    <row r="23" spans="1:33" s="752" customFormat="1" ht="13.5" customHeight="1">
      <c r="A23" s="741" t="s">
        <v>1603</v>
      </c>
      <c r="B23" s="762" t="s">
        <v>1632</v>
      </c>
      <c r="C23" s="763">
        <f ca="1">ROUND(C4*F23*F11,0)</f>
        <v>0</v>
      </c>
      <c r="D23" s="271"/>
      <c r="E23" s="271"/>
      <c r="F23" s="765">
        <f>'数据-取费表'!B38</f>
        <v>2.5000000000000001E-2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0.2</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13" sqref="J13"/>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4"/>
      <c r="G1" s="457"/>
      <c r="H1" s="457"/>
      <c r="I1" s="457"/>
      <c r="J1" s="457"/>
      <c r="K1" s="457"/>
      <c r="L1" s="457"/>
      <c r="M1" s="457"/>
      <c r="N1" s="457"/>
      <c r="O1" s="457"/>
      <c r="P1" s="457"/>
      <c r="Q1" s="457"/>
      <c r="R1" s="457"/>
      <c r="S1" s="457"/>
    </row>
    <row r="2" spans="1:22" ht="15.75">
      <c r="A2" s="1725" t="s">
        <v>1462</v>
      </c>
      <c r="B2" s="808">
        <f ca="1">SUMIF(B6:B13,"&lt;&gt;#ref!",B6:B13)</f>
        <v>191995</v>
      </c>
      <c r="C2" s="1726" t="s">
        <v>1651</v>
      </c>
      <c r="D2" s="1727" t="s">
        <v>1652</v>
      </c>
      <c r="E2" s="2388">
        <f>SUM(E6:E13)</f>
        <v>67180.950000000026</v>
      </c>
      <c r="F2" s="2474"/>
      <c r="G2" s="457"/>
      <c r="H2" s="457"/>
      <c r="I2" s="457"/>
      <c r="J2" s="457"/>
      <c r="K2" s="457"/>
      <c r="L2" s="457"/>
      <c r="M2" s="457"/>
      <c r="N2" s="457"/>
      <c r="O2" s="457"/>
      <c r="P2" s="457"/>
      <c r="Q2" s="457"/>
      <c r="R2" s="457"/>
      <c r="S2" s="457"/>
    </row>
    <row r="3" spans="1:22" ht="15.75">
      <c r="A3" s="1725" t="s">
        <v>686</v>
      </c>
      <c r="B3" s="2382">
        <f ca="1">ROUND(B2*10000/E2,0)</f>
        <v>28579</v>
      </c>
      <c r="C3" s="1726" t="s">
        <v>1659</v>
      </c>
      <c r="D3" s="2474"/>
      <c r="E3" s="2477"/>
      <c r="F3" s="2474"/>
      <c r="G3" s="457"/>
      <c r="H3" s="457"/>
      <c r="I3" s="457"/>
      <c r="J3" s="457"/>
      <c r="K3" s="457"/>
      <c r="L3" s="457"/>
      <c r="M3" s="457"/>
      <c r="N3" s="457"/>
      <c r="O3" s="457"/>
      <c r="P3" s="457"/>
      <c r="Q3" s="457"/>
      <c r="R3" s="457"/>
      <c r="S3" s="457"/>
    </row>
    <row r="4" spans="1:22" ht="15.75">
      <c r="A4" s="2478"/>
      <c r="B4" s="2474"/>
      <c r="C4" s="2474"/>
      <c r="D4" s="2474"/>
      <c r="E4" s="2477"/>
      <c r="F4" s="2474"/>
      <c r="G4" s="457"/>
      <c r="H4" s="457"/>
      <c r="I4" s="457"/>
      <c r="J4" s="457"/>
      <c r="K4" s="457"/>
      <c r="L4" s="457"/>
      <c r="M4" s="457"/>
      <c r="N4" s="457"/>
      <c r="O4" s="457"/>
      <c r="P4" s="457"/>
      <c r="Q4" s="457"/>
      <c r="R4" s="457"/>
      <c r="S4" s="457"/>
    </row>
    <row r="5" spans="1:22" ht="15">
      <c r="A5" s="2384" t="s">
        <v>1653</v>
      </c>
      <c r="B5" s="3383" t="s">
        <v>1654</v>
      </c>
      <c r="C5" s="3384"/>
      <c r="D5" s="2475"/>
      <c r="E5" s="1728" t="s">
        <v>1655</v>
      </c>
      <c r="F5" s="127" t="s">
        <v>1656</v>
      </c>
      <c r="G5" s="457"/>
      <c r="H5" s="457"/>
      <c r="I5" s="457"/>
      <c r="J5" s="457"/>
      <c r="K5" s="457"/>
      <c r="L5" s="457"/>
      <c r="M5" s="457"/>
      <c r="N5" s="457"/>
      <c r="O5" s="457"/>
      <c r="P5" s="457"/>
      <c r="Q5" s="457"/>
      <c r="R5" s="457"/>
      <c r="S5" s="457"/>
    </row>
    <row r="6" spans="1:22">
      <c r="A6" s="2385" t="str">
        <f>'数据-取费表'!AN6</f>
        <v>收益法</v>
      </c>
      <c r="B6" s="2383">
        <f ca="1">IF(F6="是",'数据-取费表'!AO6,0)</f>
        <v>191995</v>
      </c>
      <c r="C6" s="1726" t="s">
        <v>1651</v>
      </c>
      <c r="D6" s="2474"/>
      <c r="E6" s="2387">
        <f>IF(OR(A6=0,F6="否"),0,'数据-取费表'!K6+'数据-取费表'!S6)</f>
        <v>67180.950000000026</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4"/>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f>IF(F8="是",'数据-取费表'!AO8,0)</f>
        <v>0</v>
      </c>
      <c r="C8" s="1726" t="s">
        <v>1651</v>
      </c>
      <c r="D8" s="2474"/>
      <c r="E8" s="2387">
        <f>IF(OR(A8=0,F8="否"),0,'数据-取费表'!K8+'数据-取费表'!S8)</f>
        <v>0</v>
      </c>
      <c r="F8" s="1729" t="s">
        <v>3423</v>
      </c>
      <c r="G8" s="457"/>
      <c r="H8" s="457"/>
      <c r="I8" s="457"/>
      <c r="J8" s="457"/>
      <c r="K8" s="457"/>
      <c r="L8" s="457"/>
      <c r="M8" s="457"/>
      <c r="N8" s="457"/>
      <c r="O8" s="457"/>
      <c r="P8" s="457"/>
      <c r="Q8" s="457"/>
      <c r="R8" s="457"/>
      <c r="S8" s="457"/>
    </row>
    <row r="9" spans="1:22">
      <c r="A9" s="2385">
        <f>'数据-取费表'!AN9</f>
        <v>0</v>
      </c>
      <c r="B9" s="2383">
        <f>IF(F9="是",'数据-取费表'!AO9,0)</f>
        <v>0</v>
      </c>
      <c r="C9" s="1726" t="s">
        <v>1651</v>
      </c>
      <c r="D9" s="2474"/>
      <c r="E9" s="2387">
        <f>IF(OR(A9=0,F9="否"),0,'数据-取费表'!K9+'数据-取费表'!S9)</f>
        <v>0</v>
      </c>
      <c r="F9" s="1729" t="s">
        <v>3423</v>
      </c>
      <c r="G9" s="457"/>
      <c r="H9" s="457"/>
      <c r="I9" s="457"/>
      <c r="J9" s="457"/>
      <c r="K9" s="457"/>
      <c r="L9" s="457"/>
      <c r="M9" s="457"/>
      <c r="N9" s="457"/>
      <c r="O9" s="457"/>
      <c r="P9" s="457"/>
      <c r="Q9" s="457"/>
      <c r="R9" s="457"/>
      <c r="S9" s="457"/>
    </row>
    <row r="10" spans="1:22">
      <c r="A10" s="2385">
        <f>'数据-取费表'!AN10</f>
        <v>0</v>
      </c>
      <c r="B10" s="2383">
        <f>IF(F10="是",'数据-取费表'!AO10,0)</f>
        <v>0</v>
      </c>
      <c r="C10" s="1726" t="s">
        <v>1651</v>
      </c>
      <c r="D10" s="2474"/>
      <c r="E10" s="2387">
        <f>IF(OR(A10=0,F10="否"),0,'数据-取费表'!K10+'数据-取费表'!S10)</f>
        <v>0</v>
      </c>
      <c r="F10" s="1729" t="s">
        <v>3423</v>
      </c>
      <c r="G10" s="457"/>
      <c r="H10" s="457"/>
      <c r="I10" s="457"/>
      <c r="J10" s="457"/>
      <c r="K10" s="457"/>
      <c r="L10" s="457"/>
      <c r="M10" s="457"/>
      <c r="N10" s="457"/>
      <c r="O10" s="457"/>
      <c r="P10" s="457"/>
      <c r="Q10" s="457"/>
      <c r="R10" s="457"/>
      <c r="S10" s="457"/>
    </row>
    <row r="11" spans="1:22">
      <c r="A11" s="2385">
        <f>'数据-取费表'!AN11</f>
        <v>0</v>
      </c>
      <c r="B11" s="2383">
        <f>IF(F11="是",'数据-取费表'!AO11,0)</f>
        <v>0</v>
      </c>
      <c r="C11" s="1726" t="s">
        <v>1651</v>
      </c>
      <c r="D11" s="2474"/>
      <c r="E11" s="2387">
        <f>IF(OR(A11=0,F11="否"),0,'数据-取费表'!K11+'数据-取费表'!S11)</f>
        <v>0</v>
      </c>
      <c r="F11" s="1729" t="s">
        <v>3423</v>
      </c>
      <c r="G11" s="457"/>
      <c r="H11" s="457"/>
      <c r="I11" s="457"/>
      <c r="J11" s="457"/>
      <c r="K11" s="457"/>
      <c r="L11" s="457"/>
      <c r="M11" s="457"/>
      <c r="N11" s="457"/>
      <c r="O11" s="457"/>
      <c r="P11" s="457"/>
      <c r="Q11" s="457"/>
      <c r="R11" s="457"/>
      <c r="S11" s="457"/>
    </row>
    <row r="12" spans="1:22">
      <c r="A12" s="2385">
        <f>'数据-取费表'!AN12</f>
        <v>0</v>
      </c>
      <c r="B12" s="2383">
        <f>IF(F12="是",'数据-取费表'!AO12,0)</f>
        <v>0</v>
      </c>
      <c r="C12" s="1726" t="s">
        <v>1651</v>
      </c>
      <c r="D12" s="2474"/>
      <c r="E12" s="2387">
        <f>IF(OR(A12=0,F12="否"),0,'数据-取费表'!K12+'数据-取费表'!S12)</f>
        <v>0</v>
      </c>
      <c r="F12" s="1729" t="s">
        <v>3423</v>
      </c>
      <c r="G12" s="457"/>
      <c r="H12" s="457"/>
      <c r="I12" s="457"/>
      <c r="J12" s="457"/>
      <c r="K12" s="457"/>
      <c r="L12" s="457"/>
      <c r="M12" s="457"/>
      <c r="N12" s="457"/>
      <c r="O12" s="457"/>
      <c r="P12" s="457"/>
      <c r="Q12" s="457"/>
      <c r="R12" s="457"/>
      <c r="S12" s="457"/>
    </row>
    <row r="13" spans="1:22" ht="15" thickBot="1">
      <c r="A13" s="2386">
        <f>'数据-取费表'!AN13</f>
        <v>0</v>
      </c>
      <c r="B13" s="2383">
        <f>IF(F13="是",'数据-取费表'!AO13,0)</f>
        <v>0</v>
      </c>
      <c r="C13" s="1730" t="s">
        <v>1651</v>
      </c>
      <c r="D13" s="2476"/>
      <c r="E13" s="2387">
        <f>IF(OR(A13=0,F13="否"),0,'数据-取费表'!K13+'数据-取费表'!S13)</f>
        <v>0</v>
      </c>
      <c r="F13" s="1729" t="s">
        <v>3423</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21</v>
      </c>
      <c r="D1" s="1268" t="s">
        <v>43</v>
      </c>
      <c r="E1" s="1269" t="s">
        <v>678</v>
      </c>
      <c r="F1" s="996">
        <f ca="1">J53</f>
        <v>28.99</v>
      </c>
      <c r="G1" s="1283">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191995</v>
      </c>
      <c r="C2" s="1286" t="s">
        <v>805</v>
      </c>
      <c r="D2" s="1286"/>
      <c r="E2" s="1292"/>
      <c r="F2" s="1293"/>
      <c r="G2" s="2473"/>
      <c r="H2" s="2463"/>
      <c r="I2" s="2463"/>
      <c r="J2" s="2463"/>
      <c r="K2" s="2464"/>
      <c r="L2" s="2463"/>
      <c r="M2" s="2463"/>
    </row>
    <row r="3" spans="1:37" ht="18" customHeight="1" thickBot="1">
      <c r="A3" s="1294" t="s">
        <v>806</v>
      </c>
      <c r="B3" s="1295">
        <f ca="1">IF(ISERROR(B2*10000/F43),0,ROUND(B2*10000/F43,0))</f>
        <v>28579</v>
      </c>
      <c r="C3" s="1286" t="s">
        <v>807</v>
      </c>
      <c r="D3" s="1286"/>
      <c r="E3" s="1292"/>
      <c r="F3" s="1293"/>
      <c r="G3" s="2473"/>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13258</v>
      </c>
      <c r="D5" s="1270" t="s">
        <v>693</v>
      </c>
      <c r="E5" s="1005"/>
      <c r="F5" s="1006"/>
      <c r="G5" s="1289"/>
      <c r="H5" s="289">
        <v>1</v>
      </c>
      <c r="I5" s="290" t="s">
        <v>692</v>
      </c>
      <c r="J5" s="1004">
        <f ca="1">J6+J10+J12</f>
        <v>0</v>
      </c>
      <c r="K5" s="1270" t="s">
        <v>693</v>
      </c>
      <c r="L5" s="1005"/>
      <c r="M5" s="1006"/>
    </row>
    <row r="6" spans="1:37" ht="18" customHeight="1">
      <c r="A6" s="1003" t="s">
        <v>398</v>
      </c>
      <c r="B6" s="3387" t="s">
        <v>694</v>
      </c>
      <c r="C6" s="1008">
        <f ca="1">ROUND(F6*F8*F7*(1-F9)/10000,0)</f>
        <v>13241</v>
      </c>
      <c r="D6" s="145" t="s">
        <v>2109</v>
      </c>
      <c r="E6" s="292" t="s">
        <v>696</v>
      </c>
      <c r="F6" s="293">
        <f ca="1">INDIRECT("'数据-取费表'!u"&amp;$G$1)</f>
        <v>6</v>
      </c>
      <c r="G6" s="1289"/>
      <c r="H6" s="1003" t="s">
        <v>398</v>
      </c>
      <c r="I6" s="3387" t="s">
        <v>694</v>
      </c>
      <c r="J6" s="291">
        <f ca="1">ROUND(M6*M8*M7*(1-M9)/10000,0)</f>
        <v>0</v>
      </c>
      <c r="K6" s="145" t="s">
        <v>2108</v>
      </c>
      <c r="L6" s="292" t="s">
        <v>696</v>
      </c>
      <c r="M6" s="293">
        <f ca="1">INDIRECT("'数据-取费表'!z"&amp;$G$1)</f>
        <v>0</v>
      </c>
    </row>
    <row r="7" spans="1:37" ht="18" customHeight="1">
      <c r="A7" s="1007"/>
      <c r="B7" s="3388"/>
      <c r="C7" s="1009"/>
      <c r="D7" s="297"/>
      <c r="E7" s="1010" t="s">
        <v>697</v>
      </c>
      <c r="F7" s="293">
        <f ca="1">IF(INDIRECT("'数据-取费表'!ah"&amp;$G$1)="",INDIRECT("'数据-取费表'!k"&amp;$G$1),INDIRECT("'数据-取费表'!ah"&amp;$G$1))</f>
        <v>67180.950000000026</v>
      </c>
      <c r="G7" s="1289"/>
      <c r="H7" s="294"/>
      <c r="I7" s="3388"/>
      <c r="J7" s="296"/>
      <c r="K7" s="297"/>
      <c r="L7" s="292" t="s">
        <v>697</v>
      </c>
      <c r="M7" s="293">
        <f ca="1">F7</f>
        <v>67180.950000000026</v>
      </c>
    </row>
    <row r="8" spans="1:37" ht="18" customHeight="1">
      <c r="A8" s="294"/>
      <c r="B8" s="3388"/>
      <c r="C8" s="296"/>
      <c r="D8" s="297"/>
      <c r="E8" s="292" t="s">
        <v>698</v>
      </c>
      <c r="F8" s="293">
        <f ca="1">INDIRECT("'数据-取费表'!ai"&amp;$G$1)</f>
        <v>365</v>
      </c>
      <c r="G8" s="1289"/>
      <c r="H8" s="294"/>
      <c r="I8" s="3388"/>
      <c r="J8" s="296"/>
      <c r="K8" s="297"/>
      <c r="L8" s="292" t="s">
        <v>698</v>
      </c>
      <c r="M8" s="293">
        <f ca="1">INDIRECT("'数据-取费表'!ai"&amp;$G$1)</f>
        <v>365</v>
      </c>
    </row>
    <row r="9" spans="1:37" ht="18" customHeight="1">
      <c r="A9" s="294"/>
      <c r="B9" s="3389"/>
      <c r="C9" s="296"/>
      <c r="D9" s="297"/>
      <c r="E9" s="292" t="s">
        <v>699</v>
      </c>
      <c r="F9" s="302">
        <f ca="1">INDIRECT("'数据-取费表'!w"&amp;$G$1)</f>
        <v>0.1</v>
      </c>
      <c r="G9" s="1289"/>
      <c r="H9" s="294"/>
      <c r="I9" s="3389"/>
      <c r="J9" s="296"/>
      <c r="K9" s="297"/>
      <c r="L9" s="303" t="s">
        <v>699</v>
      </c>
      <c r="M9" s="304">
        <f ca="1">INDIRECT("'数据-取费表'!ab"&amp;$G$1)</f>
        <v>0</v>
      </c>
    </row>
    <row r="10" spans="1:37" ht="18" customHeight="1">
      <c r="A10" s="1003" t="s">
        <v>402</v>
      </c>
      <c r="B10" s="1271" t="s">
        <v>700</v>
      </c>
      <c r="C10" s="306">
        <f ca="1">ROUND(IF(F10="押一",C6/12*F11,IF(F10="押二",C6/12*2*F11,IF(F10="押三",C6/12*3*F11,C11*F11))),0)</f>
        <v>17</v>
      </c>
      <c r="D10" s="148" t="s">
        <v>2117</v>
      </c>
      <c r="E10" s="303" t="s">
        <v>701</v>
      </c>
      <c r="F10" s="1050" t="s">
        <v>3421</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55313</v>
      </c>
      <c r="D13" s="1015" t="s">
        <v>705</v>
      </c>
      <c r="E13" s="1015" t="s">
        <v>706</v>
      </c>
      <c r="F13" s="1016">
        <f ca="1">INDIRECT("'数据-取费表'!y"&amp;$G$1)</f>
        <v>0.84</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40309</v>
      </c>
      <c r="D14" s="1254" t="s">
        <v>708</v>
      </c>
      <c r="E14" s="1252"/>
      <c r="F14" s="309"/>
      <c r="G14" s="1289"/>
      <c r="H14" s="925" t="s">
        <v>398</v>
      </c>
      <c r="I14" s="292" t="s">
        <v>709</v>
      </c>
      <c r="J14" s="21">
        <f ca="1">C29</f>
        <v>65849</v>
      </c>
      <c r="K14" s="12"/>
      <c r="L14" s="756"/>
      <c r="M14" s="757"/>
    </row>
    <row r="15" spans="1:37" s="1301" customFormat="1" ht="18" customHeight="1" thickBot="1">
      <c r="A15" s="925" t="s">
        <v>399</v>
      </c>
      <c r="B15" s="292" t="s">
        <v>710</v>
      </c>
      <c r="C15" s="21">
        <f ca="1">ROUND(C14*F15,0)</f>
        <v>4031</v>
      </c>
      <c r="D15" s="310" t="s">
        <v>711</v>
      </c>
      <c r="E15" s="310" t="s">
        <v>712</v>
      </c>
      <c r="F15" s="311">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329</v>
      </c>
      <c r="K16" s="1021" t="s">
        <v>715</v>
      </c>
      <c r="L16" s="1022"/>
      <c r="M16" s="1006"/>
    </row>
    <row r="17" spans="1:37" s="1301" customFormat="1" ht="18" customHeight="1">
      <c r="A17" s="925" t="s">
        <v>681</v>
      </c>
      <c r="B17" s="292" t="s">
        <v>716</v>
      </c>
      <c r="C17" s="21">
        <f ca="1">ROUND(F17*(F43+INDIRECT("'数据-取费表'!S"&amp;$G$1))/10000,0)</f>
        <v>1344</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806</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46490</v>
      </c>
      <c r="D19" s="121" t="s">
        <v>726</v>
      </c>
      <c r="E19" s="1266"/>
      <c r="F19" s="23"/>
      <c r="G19" s="1289"/>
      <c r="H19" s="925" t="s">
        <v>399</v>
      </c>
      <c r="I19" s="292" t="s">
        <v>727</v>
      </c>
      <c r="J19" s="21">
        <f ca="1">IF(K19="按租金收入计税",ROUND(J6*M19/(1+'数据-取费表'!C42),2),ROUND(C29*M19*0.7,2))</f>
        <v>0</v>
      </c>
      <c r="K19" s="1275" t="s">
        <v>3330</v>
      </c>
      <c r="L19" s="292" t="s">
        <v>712</v>
      </c>
      <c r="M19" s="312">
        <f>IF(K19="按租金收入计税",'数据-取费表'!B51,'数据-取费表'!B50)</f>
        <v>0.12</v>
      </c>
    </row>
    <row r="20" spans="1:37" s="1301" customFormat="1" ht="18" customHeight="1">
      <c r="A20" s="925" t="s">
        <v>402</v>
      </c>
      <c r="B20" s="292" t="s">
        <v>728</v>
      </c>
      <c r="C20" s="21">
        <f ca="1">ROUND(C19*F20,0)</f>
        <v>1860</v>
      </c>
      <c r="D20" s="313" t="s">
        <v>729</v>
      </c>
      <c r="E20" s="292" t="s">
        <v>712</v>
      </c>
      <c r="F20" s="312">
        <f>'数据-取费表'!B37</f>
        <v>0.04</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329.25</v>
      </c>
      <c r="K22" s="1253" t="s">
        <v>739</v>
      </c>
      <c r="L22" s="292" t="s">
        <v>712</v>
      </c>
      <c r="M22" s="318">
        <f ca="1">INDIRECT("'数据-取费表'!Ak"&amp;$G$1)</f>
        <v>5.0000000000000001E-3</v>
      </c>
    </row>
    <row r="23" spans="1:37" s="1301" customFormat="1" ht="18" customHeight="1">
      <c r="A23" s="925" t="s">
        <v>397</v>
      </c>
      <c r="B23" s="292" t="s">
        <v>740</v>
      </c>
      <c r="C23" s="21">
        <f ca="1">IF('数据-取费表'!B22&lt;=1,ROUND(C19*F24*F23/2,0)+ROUND(C20*F24*F23/2,0),ROUND(C19*(POWER((1+F24),F23/2)-1),0)+ROUND(C20*(POWER((1+F24),F23/2)-1),0))</f>
        <v>2265</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ROUND(J13*M23,2)</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-329</v>
      </c>
      <c r="K25" s="1029" t="s">
        <v>753</v>
      </c>
      <c r="L25" s="1030"/>
      <c r="M25" s="1031"/>
    </row>
    <row r="26" spans="1:37">
      <c r="A26" s="925" t="s">
        <v>397</v>
      </c>
      <c r="B26" s="292" t="s">
        <v>754</v>
      </c>
      <c r="C26" s="21">
        <f ca="1">ROUND((C19+C20)*F26,0)</f>
        <v>9670</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5.5E-2</v>
      </c>
    </row>
    <row r="27" spans="1:37" ht="18" customHeight="1">
      <c r="A27" s="925"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65849</v>
      </c>
      <c r="D29" s="1026"/>
      <c r="E29" s="1024"/>
      <c r="F29" s="1027"/>
      <c r="G29" s="1300"/>
      <c r="H29" s="323" t="s">
        <v>396</v>
      </c>
      <c r="I29" s="324" t="s">
        <v>768</v>
      </c>
      <c r="J29" s="325">
        <f ca="1">ROUND(J26/(1+F40)^F41,0)</f>
        <v>0</v>
      </c>
      <c r="K29" s="326" t="s">
        <v>769</v>
      </c>
      <c r="L29" s="327"/>
      <c r="M29" s="328">
        <f ca="1">INDIRECT("'数据-取费表'!k"&amp;$G$1)</f>
        <v>67180.950000000026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2670</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ROUND(IF(AND(项目基本情况!B11="自然人",项目基本情况!B10="北京市"),C6*F31/(1+'数据-取费表'!C42),C32+C33+C34),2)</f>
        <v>2219.4499999999998</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IF(项目基本情况!B11="自然人","——",ROUND(C6*F32/(1+'数据-取费表'!C42),2))</f>
        <v>706.19</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IF(项目基本情况!B11="自然人","——",IF(D33="按租金收入计税",ROUND(C6*F33/(1+'数据-取费表'!C42),2),IF(D33="按房产原值计税",ROUND(C29*F33*0.7,2),INDIRECT("'数据-取费表'!Aj"&amp;$G$1))))</f>
        <v>1513.26</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IF(项目基本情况!B11="自然人","——",ROUND(F34*F35/10000,2))</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ROUND(C29*F36,2)</f>
        <v>329.25</v>
      </c>
      <c r="D36" s="1253" t="s">
        <v>771</v>
      </c>
      <c r="E36" s="292" t="s">
        <v>712</v>
      </c>
      <c r="F36" s="318">
        <f ca="1">INDIRECT("'数据-取费表'!Ak"&amp;$G$1)</f>
        <v>5.0000000000000001E-3</v>
      </c>
      <c r="G36" s="1289"/>
      <c r="H36" s="2468"/>
      <c r="I36" s="1302"/>
      <c r="J36" s="1303"/>
      <c r="K36" s="2326"/>
      <c r="L36" s="2468"/>
      <c r="M36" s="2468"/>
    </row>
    <row r="37" spans="1:18" ht="18" customHeight="1">
      <c r="A37" s="925" t="s">
        <v>437</v>
      </c>
      <c r="B37" s="292" t="s">
        <v>742</v>
      </c>
      <c r="C37" s="21">
        <f ca="1">ROUND(C13*F37,2)</f>
        <v>55.31</v>
      </c>
      <c r="D37" s="1253" t="s">
        <v>743</v>
      </c>
      <c r="E37" s="292" t="s">
        <v>744</v>
      </c>
      <c r="F37" s="319">
        <f ca="1">INDIRECT("'数据-取费表'!Al"&amp;$G$1)</f>
        <v>1E-3</v>
      </c>
      <c r="G37" s="1289"/>
      <c r="H37" s="2468"/>
      <c r="I37" s="1302"/>
      <c r="J37" s="1303"/>
      <c r="K37" s="2326"/>
      <c r="L37" s="2468"/>
      <c r="M37" s="2468"/>
    </row>
    <row r="38" spans="1:18" ht="18" customHeight="1" thickBot="1">
      <c r="A38" s="1023" t="s">
        <v>684</v>
      </c>
      <c r="B38" s="1024" t="s">
        <v>728</v>
      </c>
      <c r="C38" s="1025">
        <f ca="1">ROUND(C5*F38,2)</f>
        <v>66.290000000000006</v>
      </c>
      <c r="D38" s="1026" t="s">
        <v>748</v>
      </c>
      <c r="E38" s="1024" t="s">
        <v>744</v>
      </c>
      <c r="F38" s="1020">
        <f ca="1">INDIRECT("'数据-取费表'!Am"&amp;$G$1)</f>
        <v>5.0000000000000001E-3</v>
      </c>
      <c r="G38" s="1289"/>
      <c r="H38" s="2468"/>
      <c r="I38" s="1302"/>
      <c r="J38" s="1303"/>
      <c r="K38" s="2466"/>
      <c r="L38" s="2468"/>
      <c r="M38" s="2468"/>
    </row>
    <row r="39" spans="1:18" ht="24.6" customHeight="1" thickTop="1">
      <c r="A39" s="1013" t="s">
        <v>394</v>
      </c>
      <c r="B39" s="1028" t="s">
        <v>772</v>
      </c>
      <c r="C39" s="300">
        <f ca="1">C5-C30</f>
        <v>10588</v>
      </c>
      <c r="D39" s="1029" t="s">
        <v>773</v>
      </c>
      <c r="E39" s="1030"/>
      <c r="F39" s="1031"/>
      <c r="G39" s="1289"/>
      <c r="H39" s="2468"/>
      <c r="I39" s="1302"/>
      <c r="J39" s="1303"/>
      <c r="K39" s="2466"/>
      <c r="L39" s="2468"/>
      <c r="M39" s="2468"/>
    </row>
    <row r="40" spans="1:18" ht="18" customHeight="1">
      <c r="A40" s="289" t="s">
        <v>395</v>
      </c>
      <c r="B40" s="290" t="s">
        <v>774</v>
      </c>
      <c r="C40" s="291">
        <f ca="1">ROUND(C39*(1-((1+F42)/(1+F40))^F41)/(F40-F42),0)</f>
        <v>188758</v>
      </c>
      <c r="D40" s="314" t="s">
        <v>758</v>
      </c>
      <c r="E40" s="292" t="s">
        <v>759</v>
      </c>
      <c r="F40" s="302">
        <f ca="1">INDIRECT("'数据-取费表'!I"&amp;$G$1)</f>
        <v>5.5E-2</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28.99</v>
      </c>
      <c r="G41" s="1289"/>
      <c r="H41" s="119"/>
      <c r="I41" s="1302"/>
      <c r="J41" s="1303"/>
      <c r="K41" s="2326"/>
      <c r="L41" s="119"/>
      <c r="M41" s="119"/>
    </row>
    <row r="42" spans="1:18" ht="18" customHeight="1">
      <c r="A42" s="298"/>
      <c r="B42" s="299"/>
      <c r="C42" s="300"/>
      <c r="D42" s="317"/>
      <c r="E42" s="292" t="s">
        <v>766</v>
      </c>
      <c r="F42" s="302">
        <f ca="1">INDIRECT("'数据-取费表'!v"&amp;$G$1)</f>
        <v>0.02</v>
      </c>
      <c r="G42" s="1289"/>
      <c r="H42" s="119"/>
      <c r="I42" s="1302"/>
      <c r="J42" s="1303"/>
      <c r="K42" s="2326"/>
      <c r="L42" s="119"/>
      <c r="M42" s="119"/>
    </row>
    <row r="43" spans="1:18" ht="18" customHeight="1" thickBot="1">
      <c r="A43" s="323" t="s">
        <v>396</v>
      </c>
      <c r="B43" s="324" t="s">
        <v>776</v>
      </c>
      <c r="C43" s="325">
        <f ca="1">ROUND(C40*10000/F43,0)</f>
        <v>28097</v>
      </c>
      <c r="D43" s="326" t="s">
        <v>777</v>
      </c>
      <c r="E43" s="327" t="s">
        <v>778</v>
      </c>
      <c r="F43" s="328">
        <f ca="1">INDIRECT("'数据-取费表'!k"&amp;$G$1)</f>
        <v>67180.950000000026</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2" t="s">
        <v>808</v>
      </c>
      <c r="P45" s="1363"/>
      <c r="Q45" s="1363"/>
      <c r="R45" s="1363"/>
    </row>
    <row r="46" spans="1:18" s="1289" customFormat="1" ht="13.5" thickBot="1">
      <c r="A46" s="1308" t="s">
        <v>809</v>
      </c>
      <c r="C46" s="1309">
        <f ca="1">C68-C40</f>
        <v>-194275</v>
      </c>
      <c r="D46" s="1310" t="str">
        <f>C2</f>
        <v>万元</v>
      </c>
      <c r="E46" s="1304"/>
      <c r="F46" s="1304"/>
      <c r="I46" s="1311" t="s">
        <v>810</v>
      </c>
      <c r="J46" s="1312"/>
      <c r="K46" s="1313"/>
      <c r="L46" s="1314">
        <f ca="1">IF(M47="住宅",0,IF(L48&gt;J51,L60,J60))</f>
        <v>3237</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t="s">
        <v>3408</v>
      </c>
      <c r="K47" s="1320" t="s">
        <v>816</v>
      </c>
      <c r="L47" s="1321">
        <f ca="1">INDIRECT("'数据-取费表'!d"&amp;$G$1)</f>
        <v>50</v>
      </c>
      <c r="M47" s="1285" t="str">
        <f>IF(ISNUMBER(FIND("住宅",C1)),"住宅","非住宅")</f>
        <v>非住宅</v>
      </c>
      <c r="O47" s="1322" t="s">
        <v>403</v>
      </c>
      <c r="P47" s="1323" t="s">
        <v>817</v>
      </c>
      <c r="Q47" s="1324">
        <f ca="1">C40+J29</f>
        <v>188758</v>
      </c>
      <c r="R47" s="1324" t="s">
        <v>818</v>
      </c>
    </row>
    <row r="48" spans="1:18" s="1289" customFormat="1" ht="28.5" thickBot="1">
      <c r="A48" s="1044" t="s">
        <v>438</v>
      </c>
      <c r="B48" s="290" t="s">
        <v>692</v>
      </c>
      <c r="C48" s="1265">
        <f ca="1">C49+C53+C55</f>
        <v>0</v>
      </c>
      <c r="D48" s="1046"/>
      <c r="E48" s="1047"/>
      <c r="F48" s="905"/>
      <c r="G48" s="679"/>
      <c r="H48" s="680"/>
      <c r="I48" s="1325" t="s">
        <v>819</v>
      </c>
      <c r="J48" s="1326" t="s">
        <v>3422</v>
      </c>
      <c r="K48" s="1327" t="s">
        <v>820</v>
      </c>
      <c r="L48" s="1328">
        <f ca="1">INDIRECT("'数据-取费表'!f"&amp;$G$1)</f>
        <v>28.99</v>
      </c>
      <c r="O48" s="1322" t="s">
        <v>404</v>
      </c>
      <c r="P48" s="1323" t="s">
        <v>821</v>
      </c>
      <c r="Q48" s="1324">
        <f ca="1">J60</f>
        <v>3237</v>
      </c>
      <c r="R48" s="1324" t="s">
        <v>822</v>
      </c>
    </row>
    <row r="49" spans="1:18" s="1289" customFormat="1" ht="13.5" thickBot="1">
      <c r="A49" s="918" t="s">
        <v>439</v>
      </c>
      <c r="B49" s="1276" t="s">
        <v>779</v>
      </c>
      <c r="C49" s="1048">
        <f ca="1">ROUND(F49*F51*F50*(1-F52)/10000,0)</f>
        <v>0</v>
      </c>
      <c r="D49" s="989" t="s">
        <v>2110</v>
      </c>
      <c r="E49" s="1277" t="s">
        <v>780</v>
      </c>
      <c r="F49" s="994"/>
      <c r="H49" s="680"/>
      <c r="I49" s="1325" t="s">
        <v>823</v>
      </c>
      <c r="J49" s="1329">
        <f>面积清单!N16</f>
        <v>2012</v>
      </c>
      <c r="K49" s="1327" t="s">
        <v>824</v>
      </c>
      <c r="L49" s="1330"/>
      <c r="O49" s="1331" t="s">
        <v>405</v>
      </c>
      <c r="P49" s="1323" t="s">
        <v>825</v>
      </c>
      <c r="Q49" s="1324">
        <f ca="1">C29</f>
        <v>65849</v>
      </c>
      <c r="R49" s="1324" t="s">
        <v>818</v>
      </c>
    </row>
    <row r="50" spans="1:18" s="1289" customFormat="1" ht="13.5" thickBot="1">
      <c r="A50" s="919"/>
      <c r="B50" s="922"/>
      <c r="C50" s="1052"/>
      <c r="D50" s="896"/>
      <c r="E50" s="990" t="s">
        <v>697</v>
      </c>
      <c r="F50" s="991">
        <f ca="1">F7</f>
        <v>67180.950000000026</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0"/>
      <c r="B51" s="922"/>
      <c r="C51" s="923"/>
      <c r="D51" s="896"/>
      <c r="E51" s="924" t="s">
        <v>698</v>
      </c>
      <c r="F51" s="293">
        <f ca="1">F8</f>
        <v>365</v>
      </c>
      <c r="I51" s="1335" t="s">
        <v>829</v>
      </c>
      <c r="J51" s="1328">
        <f>IF(J49="",J50,J49+J50-YEAR('数据-取费表'!B2))</f>
        <v>47</v>
      </c>
      <c r="K51" s="1336" t="s">
        <v>830</v>
      </c>
      <c r="L51" s="1337">
        <f ca="1">ROUND(-PV(INDIRECT("'数据-取费表'!h"&amp;$G$1),J51,(C39-C13*C76),0),0)</f>
        <v>120762</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28.99</v>
      </c>
      <c r="R52" s="1324" t="s">
        <v>835</v>
      </c>
    </row>
    <row r="53" spans="1:18" s="1289" customFormat="1" ht="24.75" thickBot="1">
      <c r="A53" s="1076" t="s">
        <v>440</v>
      </c>
      <c r="B53" s="1278" t="s">
        <v>700</v>
      </c>
      <c r="C53" s="306">
        <f ca="1">ROUND(IF(F53="押一",C49/12*F11,IF(F53="押二",C49/12*2*F11,IF(F53="押三",C49/12*3*F11,C54*F11))),0)</f>
        <v>0</v>
      </c>
      <c r="D53" s="148" t="s">
        <v>2116</v>
      </c>
      <c r="E53" s="303" t="s">
        <v>701</v>
      </c>
      <c r="F53" s="1050"/>
      <c r="I53" s="1341" t="s">
        <v>836</v>
      </c>
      <c r="J53" s="2003">
        <f ca="1">IF(M47="住宅",IF(D1="——",MAX(J51,L48),MAX(J51,L48-'数据-取费表'!B24)),IF(D1="——",MIN(J51,L48),MIN(J51,L48-'数据-取费表'!B24)))</f>
        <v>28.99</v>
      </c>
      <c r="K53" s="3385" t="s">
        <v>837</v>
      </c>
      <c r="L53" s="3386"/>
      <c r="O53" s="1322" t="s">
        <v>409</v>
      </c>
      <c r="P53" s="1323" t="s">
        <v>838</v>
      </c>
      <c r="Q53" s="1324">
        <f ca="1">Q47+Q48</f>
        <v>191995</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f ca="1">ROUND(IF(J47="钢混",J57/J50,1-(1-2%)*(J50-J57)/J50),3)</f>
        <v>0.3</v>
      </c>
      <c r="K55" s="1347" t="s">
        <v>841</v>
      </c>
      <c r="L55" s="1348"/>
      <c r="O55" s="1315" t="s">
        <v>811</v>
      </c>
      <c r="P55" s="1316" t="s">
        <v>812</v>
      </c>
      <c r="Q55" s="1317" t="s">
        <v>813</v>
      </c>
      <c r="R55" s="1317" t="s">
        <v>814</v>
      </c>
    </row>
    <row r="56" spans="1:18" s="1289" customFormat="1" ht="25.5" thickTop="1" thickBot="1">
      <c r="A56" s="900">
        <v>2</v>
      </c>
      <c r="B56" s="901" t="s">
        <v>704</v>
      </c>
      <c r="C56" s="222">
        <f ca="1">C13</f>
        <v>55313</v>
      </c>
      <c r="D56" s="1349"/>
      <c r="E56" s="1350"/>
      <c r="F56" s="1342"/>
      <c r="I56" s="1351" t="s">
        <v>842</v>
      </c>
      <c r="J56" s="1352" t="s">
        <v>3423</v>
      </c>
      <c r="K56" s="1325" t="s">
        <v>843</v>
      </c>
      <c r="L56" s="1328" t="str">
        <f ca="1">IF(L48&lt;J51,"——",L48-J53)</f>
        <v>——</v>
      </c>
      <c r="O56" s="1322" t="s">
        <v>403</v>
      </c>
      <c r="P56" s="1323" t="s">
        <v>817</v>
      </c>
      <c r="Q56" s="1324">
        <f ca="1">C40+J29</f>
        <v>188758</v>
      </c>
      <c r="R56" s="1324" t="s">
        <v>818</v>
      </c>
    </row>
    <row r="57" spans="1:18" s="1289" customFormat="1" ht="24.75" thickBot="1">
      <c r="A57" s="1353"/>
      <c r="B57" s="893" t="s">
        <v>767</v>
      </c>
      <c r="C57" s="228">
        <f ca="1">C29</f>
        <v>65849</v>
      </c>
      <c r="D57" s="1354"/>
      <c r="E57" s="1355"/>
      <c r="F57" s="1356"/>
      <c r="I57" s="1357" t="s">
        <v>844</v>
      </c>
      <c r="J57" s="1358">
        <f ca="1">IF(OR(M47="住宅",J51&lt;L48,J56="是"),"——",J51-L48)</f>
        <v>18.010000000000002</v>
      </c>
      <c r="K57" s="1325" t="s">
        <v>845</v>
      </c>
      <c r="L57" s="1328" t="str">
        <f ca="1">IF(L48&lt;J51,"——",IF(L55="比较法",L49,IF(L55="基准地价",L50,L51)))</f>
        <v>——</v>
      </c>
      <c r="O57" s="1322" t="s">
        <v>404</v>
      </c>
      <c r="P57" s="1323" t="s">
        <v>846</v>
      </c>
      <c r="Q57" s="1324">
        <f ca="1">L60</f>
        <v>0</v>
      </c>
      <c r="R57" s="1324" t="s">
        <v>847</v>
      </c>
    </row>
    <row r="58" spans="1:18" s="1289" customFormat="1" ht="24.75" thickBot="1">
      <c r="A58" s="305" t="s">
        <v>393</v>
      </c>
      <c r="B58" s="901" t="s">
        <v>714</v>
      </c>
      <c r="C58" s="306">
        <f ca="1">ROUND(C59+C64+C65+C66,0)</f>
        <v>385</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26340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f ca="1">IF(OR(M47="住宅",J51&lt;L48,J56="是"),"0",ROUND(J59/(1+J52)^J53,0))</f>
        <v>3237</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f ca="1">Q56+Q57</f>
        <v>188758</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329.25</v>
      </c>
      <c r="D64" s="907" t="s">
        <v>791</v>
      </c>
      <c r="E64" s="893"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55.31</v>
      </c>
      <c r="D65" s="907" t="s">
        <v>743</v>
      </c>
      <c r="E65" s="893" t="s">
        <v>744</v>
      </c>
      <c r="F65" s="319">
        <f t="shared" ca="1" si="0"/>
        <v>1E-3</v>
      </c>
      <c r="I65" s="1364" t="s">
        <v>867</v>
      </c>
      <c r="J65" s="608">
        <v>40</v>
      </c>
      <c r="K65" s="608">
        <v>30</v>
      </c>
      <c r="L65" s="608">
        <v>50</v>
      </c>
      <c r="M65" s="1366">
        <v>0.02</v>
      </c>
      <c r="O65" s="1322" t="s">
        <v>403</v>
      </c>
      <c r="P65" s="1323" t="s">
        <v>868</v>
      </c>
      <c r="Q65" s="1324">
        <f ca="1">C40+J29</f>
        <v>188758</v>
      </c>
      <c r="R65" s="1324" t="s">
        <v>818</v>
      </c>
    </row>
    <row r="66" spans="1:18" s="1289" customFormat="1" ht="16.5" thickBot="1">
      <c r="A66" s="925" t="s">
        <v>793</v>
      </c>
      <c r="B66" s="893" t="s">
        <v>728</v>
      </c>
      <c r="C66" s="21">
        <f ca="1">ROUND(C48*F66,2)</f>
        <v>0</v>
      </c>
      <c r="D66" s="907" t="s">
        <v>794</v>
      </c>
      <c r="E66" s="893" t="s">
        <v>712</v>
      </c>
      <c r="F66" s="302">
        <f t="shared" ca="1" si="0"/>
        <v>5.0000000000000001E-3</v>
      </c>
      <c r="O66" s="1322" t="s">
        <v>404</v>
      </c>
      <c r="P66" s="1323" t="s">
        <v>846</v>
      </c>
      <c r="Q66" s="1324">
        <f ca="1">L60</f>
        <v>0</v>
      </c>
      <c r="R66" s="1324" t="s">
        <v>869</v>
      </c>
    </row>
    <row r="67" spans="1:18" s="1289" customFormat="1" ht="16.5" thickBot="1">
      <c r="A67" s="900" t="s">
        <v>394</v>
      </c>
      <c r="B67" s="910" t="s">
        <v>752</v>
      </c>
      <c r="C67" s="306">
        <f ca="1">C48-C58</f>
        <v>-385</v>
      </c>
      <c r="D67" s="906" t="s">
        <v>753</v>
      </c>
      <c r="E67" s="911"/>
      <c r="F67" s="912"/>
      <c r="O67" s="1331" t="s">
        <v>405</v>
      </c>
      <c r="P67" s="1323" t="s">
        <v>850</v>
      </c>
      <c r="Q67" s="1367">
        <f ca="1">L51</f>
        <v>120762</v>
      </c>
      <c r="R67" s="1324" t="s">
        <v>870</v>
      </c>
    </row>
    <row r="68" spans="1:18" s="1289" customFormat="1" ht="16.5" thickBot="1">
      <c r="A68" s="890" t="s">
        <v>395</v>
      </c>
      <c r="B68" s="891" t="s">
        <v>774</v>
      </c>
      <c r="C68" s="291">
        <f ca="1">ROUND(C67*(1-((1+F70)/(1+F68))^F69)/(F68-F70),0)</f>
        <v>-5517</v>
      </c>
      <c r="D68" s="908" t="s">
        <v>758</v>
      </c>
      <c r="E68" s="893" t="s">
        <v>759</v>
      </c>
      <c r="F68" s="302">
        <f ca="1">F40</f>
        <v>5.5E-2</v>
      </c>
      <c r="O68" s="1331" t="s">
        <v>406</v>
      </c>
      <c r="P68" s="1368" t="s">
        <v>871</v>
      </c>
      <c r="Q68" s="1324">
        <f ca="1">ROUND(Q69-Q70*Q71,0)</f>
        <v>6716</v>
      </c>
      <c r="R68" s="1324" t="s">
        <v>414</v>
      </c>
    </row>
    <row r="69" spans="1:18" s="1289" customFormat="1" ht="13.5" thickBot="1">
      <c r="A69" s="894"/>
      <c r="B69" s="895"/>
      <c r="C69" s="296"/>
      <c r="D69" s="913" t="s">
        <v>762</v>
      </c>
      <c r="E69" s="893" t="s">
        <v>763</v>
      </c>
      <c r="F69" s="322">
        <f ca="1">F41</f>
        <v>28.99</v>
      </c>
      <c r="O69" s="1331" t="s">
        <v>411</v>
      </c>
      <c r="P69" s="1368" t="s">
        <v>872</v>
      </c>
      <c r="Q69" s="1324">
        <f ca="1">C39</f>
        <v>10588</v>
      </c>
      <c r="R69" s="1324" t="s">
        <v>818</v>
      </c>
    </row>
    <row r="70" spans="1:18" s="1289" customFormat="1" ht="13.5" thickBot="1">
      <c r="A70" s="897"/>
      <c r="B70" s="898"/>
      <c r="C70" s="300"/>
      <c r="D70" s="909"/>
      <c r="E70" s="893" t="s">
        <v>766</v>
      </c>
      <c r="F70" s="988"/>
      <c r="O70" s="1331" t="s">
        <v>412</v>
      </c>
      <c r="P70" s="1368" t="s">
        <v>873</v>
      </c>
      <c r="Q70" s="1324">
        <f ca="1">C13</f>
        <v>55313</v>
      </c>
      <c r="R70" s="1324" t="s">
        <v>818</v>
      </c>
    </row>
    <row r="71" spans="1:18" s="1289" customFormat="1" ht="13.5" thickBot="1">
      <c r="A71" s="914" t="s">
        <v>396</v>
      </c>
      <c r="B71" s="915" t="s">
        <v>776</v>
      </c>
      <c r="C71" s="325">
        <f ca="1">ROUND(C68*10000/F71,0)</f>
        <v>-821</v>
      </c>
      <c r="D71" s="916" t="s">
        <v>777</v>
      </c>
      <c r="E71" s="917" t="s">
        <v>778</v>
      </c>
      <c r="F71" s="328">
        <f ca="1">F43</f>
        <v>67180.950000000026</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3872</v>
      </c>
      <c r="D75" s="1289"/>
      <c r="E75" s="1289"/>
      <c r="F75" s="1289"/>
      <c r="K75" s="1306"/>
      <c r="L75" s="1289"/>
      <c r="O75" s="1322" t="s">
        <v>409</v>
      </c>
      <c r="P75" s="1323" t="s">
        <v>838</v>
      </c>
      <c r="Q75" s="1324">
        <f ca="1">Q65+Q66</f>
        <v>188758</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0.63400000000000001</v>
      </c>
    </row>
    <row r="80" spans="1:18">
      <c r="B80" s="329" t="s">
        <v>800</v>
      </c>
      <c r="C80" s="264">
        <f ca="1">ROUND(C75/C39,3)</f>
        <v>0.36599999999999999</v>
      </c>
    </row>
    <row r="81" spans="2:3">
      <c r="B81" s="260" t="s">
        <v>801</v>
      </c>
      <c r="C81" s="228"/>
    </row>
    <row r="82" spans="2:3">
      <c r="B82" s="263" t="s">
        <v>802</v>
      </c>
      <c r="C82" s="265">
        <f ca="1">1-C83</f>
        <v>0.70700000000000007</v>
      </c>
    </row>
    <row r="83" spans="2:3">
      <c r="B83" s="263" t="s">
        <v>803</v>
      </c>
      <c r="C83" s="264">
        <f ca="1">ROUND(C13/C40,3)</f>
        <v>0.29299999999999998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6">
        <f ca="1">J53</f>
        <v>0</v>
      </c>
      <c r="G1" s="1283">
        <f>MATCH(C1,'数据-取费表'!A6:A16,0)+5</f>
        <v>7</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8" t="e">
        <f ca="1">ROUND(D2/10000,4)</f>
        <v>#DIV/0!</v>
      </c>
      <c r="C2" s="1286" t="s">
        <v>879</v>
      </c>
      <c r="D2" s="1372" t="e">
        <f ca="1">C40+J29+L46</f>
        <v>#DIV/0!</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387" t="s">
        <v>694</v>
      </c>
      <c r="C6" s="1008">
        <f ca="1">ROUND(F6*F8*F7*(1-F9),0)</f>
        <v>0</v>
      </c>
      <c r="D6" s="145" t="s">
        <v>2106</v>
      </c>
      <c r="E6" s="292" t="s">
        <v>696</v>
      </c>
      <c r="F6" s="293">
        <f ca="1">INDIRECT("'数据-取费表'!u"&amp;$G$1)</f>
        <v>0</v>
      </c>
      <c r="G6" s="1289"/>
      <c r="H6" s="1003" t="s">
        <v>398</v>
      </c>
      <c r="I6" s="3387" t="s">
        <v>694</v>
      </c>
      <c r="J6" s="291">
        <f ca="1">ROUND(M6*M8*M7*(1-M9),0)</f>
        <v>0</v>
      </c>
      <c r="K6" s="1281" t="s">
        <v>2107</v>
      </c>
      <c r="L6" s="292" t="s">
        <v>696</v>
      </c>
      <c r="M6" s="293">
        <f ca="1">INDIRECT("'数据-取费表'!z"&amp;$G$1)</f>
        <v>0</v>
      </c>
    </row>
    <row r="7" spans="1:37" ht="18" customHeight="1">
      <c r="A7" s="1007"/>
      <c r="B7" s="3388"/>
      <c r="C7" s="1009"/>
      <c r="D7" s="297"/>
      <c r="E7" s="1010" t="s">
        <v>697</v>
      </c>
      <c r="F7" s="293">
        <f ca="1">IF(INDIRECT("'数据-取费表'!ah"&amp;$G$1)="",INDIRECT("'数据-取费表'!k"&amp;$G$1),INDIRECT("'数据-取费表'!ah"&amp;$G$1))</f>
        <v>0</v>
      </c>
      <c r="G7" s="1289"/>
      <c r="H7" s="294"/>
      <c r="I7" s="3388"/>
      <c r="J7" s="296"/>
      <c r="K7" s="297"/>
      <c r="L7" s="292" t="s">
        <v>697</v>
      </c>
      <c r="M7" s="293">
        <f ca="1">F7</f>
        <v>0</v>
      </c>
    </row>
    <row r="8" spans="1:37" ht="18" customHeight="1">
      <c r="A8" s="294"/>
      <c r="B8" s="3388"/>
      <c r="C8" s="296"/>
      <c r="D8" s="297"/>
      <c r="E8" s="292" t="s">
        <v>698</v>
      </c>
      <c r="F8" s="293">
        <f ca="1">INDIRECT("'数据-取费表'!ai"&amp;$G$1)</f>
        <v>0</v>
      </c>
      <c r="G8" s="1289"/>
      <c r="H8" s="294"/>
      <c r="I8" s="3388"/>
      <c r="J8" s="296"/>
      <c r="K8" s="297"/>
      <c r="L8" s="292" t="s">
        <v>698</v>
      </c>
      <c r="M8" s="293">
        <f ca="1">INDIRECT("'数据-取费表'!ai"&amp;$G$1)</f>
        <v>0</v>
      </c>
    </row>
    <row r="9" spans="1:37" ht="18" customHeight="1">
      <c r="A9" s="294"/>
      <c r="B9" s="3389"/>
      <c r="C9" s="296"/>
      <c r="D9" s="297"/>
      <c r="E9" s="292" t="s">
        <v>699</v>
      </c>
      <c r="F9" s="302">
        <f ca="1">INDIRECT("'数据-取费表'!w"&amp;$G$1)</f>
        <v>0</v>
      </c>
      <c r="G9" s="1289"/>
      <c r="H9" s="294"/>
      <c r="I9" s="3389"/>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3330</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0.04</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IF(项目基本情况!B11="自然人","——",ROUND(F34*F35,0))</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ROUND(C29*F36,0)</f>
        <v>0</v>
      </c>
      <c r="D36" s="1253" t="s">
        <v>771</v>
      </c>
      <c r="E36" s="292" t="s">
        <v>712</v>
      </c>
      <c r="F36" s="318">
        <f ca="1">INDIRECT("'数据-取费表'!Ak"&amp;$G$1)</f>
        <v>0</v>
      </c>
      <c r="G36" s="1289"/>
      <c r="H36" s="2468"/>
      <c r="I36" s="1302"/>
      <c r="J36" s="1303"/>
      <c r="K36" s="2326"/>
      <c r="L36" s="2468"/>
      <c r="M36" s="2468"/>
    </row>
    <row r="37" spans="1:18" ht="18" customHeight="1">
      <c r="A37" s="925" t="s">
        <v>437</v>
      </c>
      <c r="B37" s="292" t="s">
        <v>742</v>
      </c>
      <c r="C37" s="21">
        <f ca="1">ROUND(C13*F37,0)</f>
        <v>0</v>
      </c>
      <c r="D37" s="1253" t="s">
        <v>743</v>
      </c>
      <c r="E37" s="292" t="s">
        <v>744</v>
      </c>
      <c r="F37" s="319">
        <f ca="1">INDIRECT("'数据-取费表'!Al"&amp;$G$1)</f>
        <v>0</v>
      </c>
      <c r="G37" s="1289"/>
      <c r="H37" s="2468"/>
      <c r="I37" s="1302"/>
      <c r="J37" s="1303"/>
      <c r="K37" s="2326"/>
      <c r="L37" s="2468"/>
      <c r="M37" s="2468"/>
    </row>
    <row r="38" spans="1:18" ht="18" customHeight="1" thickBot="1">
      <c r="A38" s="1023" t="s">
        <v>684</v>
      </c>
      <c r="B38" s="1024" t="s">
        <v>728</v>
      </c>
      <c r="C38" s="1025">
        <f ca="1">ROUND(C5*F38,0)</f>
        <v>0</v>
      </c>
      <c r="D38" s="1026" t="s">
        <v>748</v>
      </c>
      <c r="E38" s="1024" t="s">
        <v>744</v>
      </c>
      <c r="F38" s="1020">
        <f ca="1">INDIRECT("'数据-取费表'!Am"&amp;$G$1)</f>
        <v>0</v>
      </c>
      <c r="G38" s="1289"/>
      <c r="H38" s="2468"/>
      <c r="I38" s="1302"/>
      <c r="J38" s="1303"/>
      <c r="K38" s="2466"/>
      <c r="L38" s="2468"/>
      <c r="M38" s="2468"/>
    </row>
    <row r="39" spans="1:18" ht="24.6" customHeight="1" thickTop="1">
      <c r="A39" s="1013" t="s">
        <v>394</v>
      </c>
      <c r="B39" s="1028" t="s">
        <v>772</v>
      </c>
      <c r="C39" s="300">
        <f ca="1">C5-C30</f>
        <v>0</v>
      </c>
      <c r="D39" s="1029" t="s">
        <v>773</v>
      </c>
      <c r="E39" s="1030"/>
      <c r="F39" s="1031"/>
      <c r="G39" s="1289"/>
      <c r="H39" s="2468"/>
      <c r="I39" s="1302"/>
      <c r="J39" s="1303"/>
      <c r="K39" s="2466"/>
      <c r="L39" s="2468"/>
      <c r="M39" s="2468"/>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6"/>
      <c r="L41" s="119"/>
      <c r="M41" s="119"/>
    </row>
    <row r="42" spans="1:18" ht="18" customHeight="1">
      <c r="A42" s="298"/>
      <c r="B42" s="299"/>
      <c r="C42" s="300"/>
      <c r="D42" s="317"/>
      <c r="E42" s="292" t="s">
        <v>766</v>
      </c>
      <c r="F42" s="302">
        <f ca="1">INDIRECT("'数据-取费表'!v"&amp;$G$1)</f>
        <v>0</v>
      </c>
      <c r="G42" s="1289"/>
      <c r="H42" s="119"/>
      <c r="I42" s="1302"/>
      <c r="J42" s="1303"/>
      <c r="K42" s="2326"/>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3124" t="s">
        <v>3346</v>
      </c>
      <c r="B45" s="1304"/>
      <c r="C45" s="1373" t="e">
        <f ca="1">ROUND((C68-C40)/10000,4)</f>
        <v>#DIV/0!</v>
      </c>
      <c r="D45" s="3125" t="s">
        <v>3347</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385" t="s">
        <v>837</v>
      </c>
      <c r="L53" s="3386"/>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15" customHeight="1">
      <c r="A2" s="1290" t="s">
        <v>2311</v>
      </c>
      <c r="B2" s="2589" t="e">
        <f>IF(D2="——",C40,C40+E2)</f>
        <v>#DIV/0!</v>
      </c>
      <c r="C2" s="2590" t="s">
        <v>2312</v>
      </c>
      <c r="D2" s="3133" t="s">
        <v>3353</v>
      </c>
      <c r="E2" s="3134"/>
      <c r="F2" s="2592"/>
      <c r="G2" s="2593"/>
      <c r="H2" s="2594"/>
      <c r="I2" s="2595"/>
      <c r="J2" s="3390" t="s">
        <v>2313</v>
      </c>
      <c r="K2" s="3391"/>
      <c r="L2" s="2596" t="s">
        <v>2314</v>
      </c>
      <c r="M2" s="2596" t="s">
        <v>2315</v>
      </c>
      <c r="N2" s="2596" t="s">
        <v>2316</v>
      </c>
      <c r="O2" s="2596" t="s">
        <v>2317</v>
      </c>
      <c r="P2" s="2596" t="s">
        <v>2318</v>
      </c>
      <c r="Q2" s="2597" t="s">
        <v>2319</v>
      </c>
      <c r="R2" s="2598" t="s">
        <v>2320</v>
      </c>
      <c r="S2" s="2587"/>
      <c r="T2" s="2587"/>
      <c r="U2" s="2587"/>
      <c r="V2" s="2595"/>
    </row>
    <row r="3" spans="1:22" s="2599" customFormat="1" ht="13.15" customHeight="1">
      <c r="A3" s="2600" t="s">
        <v>2321</v>
      </c>
      <c r="B3" s="2601" t="e">
        <f>ROUND(B2*10000/B4,0)</f>
        <v>#DIV/0!</v>
      </c>
      <c r="C3" s="2590" t="s">
        <v>2322</v>
      </c>
      <c r="D3" s="2590"/>
      <c r="E3" s="2591"/>
      <c r="F3" s="2592"/>
      <c r="G3" s="2593"/>
      <c r="H3" s="2594"/>
      <c r="I3" s="2595"/>
      <c r="J3" s="3392" t="s">
        <v>2323</v>
      </c>
      <c r="K3" s="3393"/>
      <c r="L3" s="2602"/>
      <c r="M3" s="2602"/>
      <c r="N3" s="2602"/>
      <c r="O3" s="2602"/>
      <c r="P3" s="2602"/>
      <c r="Q3" s="2603"/>
      <c r="R3" s="2604">
        <f>SUM(L3:Q3)</f>
        <v>0</v>
      </c>
      <c r="S3" s="2587"/>
      <c r="T3" s="2587"/>
      <c r="U3" s="2587"/>
      <c r="V3" s="2595"/>
    </row>
    <row r="4" spans="1:22" s="2599" customFormat="1" ht="13.15" customHeight="1">
      <c r="A4" s="2605" t="s">
        <v>2324</v>
      </c>
      <c r="B4" s="2606"/>
      <c r="C4" s="2590"/>
      <c r="D4" s="2590"/>
      <c r="E4" s="2591"/>
      <c r="F4" s="2592"/>
      <c r="G4" s="2593"/>
      <c r="H4" s="2594"/>
      <c r="I4" s="2595"/>
      <c r="J4" s="3392" t="s">
        <v>2325</v>
      </c>
      <c r="K4" s="3393"/>
      <c r="L4" s="2607"/>
      <c r="M4" s="2607"/>
      <c r="N4" s="2607"/>
      <c r="O4" s="2607"/>
      <c r="P4" s="2607"/>
      <c r="Q4" s="2608"/>
      <c r="R4" s="2609">
        <f>SUM(L4:Q4)</f>
        <v>0</v>
      </c>
      <c r="S4" s="2587"/>
      <c r="T4" s="2587"/>
      <c r="U4" s="2587"/>
      <c r="V4" s="2595"/>
    </row>
    <row r="5" spans="1:22" s="2599" customFormat="1" ht="13.15"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15" customHeight="1" thickBot="1">
      <c r="A6" s="3394" t="s">
        <v>2329</v>
      </c>
      <c r="B6" s="3395"/>
      <c r="C6" s="3396"/>
      <c r="D6" s="2616"/>
      <c r="E6" s="2617"/>
      <c r="F6" s="2618"/>
      <c r="G6" s="2619"/>
      <c r="H6" s="2594"/>
      <c r="I6" s="2595"/>
      <c r="J6" s="3397">
        <v>1</v>
      </c>
      <c r="K6" s="3398"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15" customHeight="1">
      <c r="A7" s="2622" t="s">
        <v>2339</v>
      </c>
      <c r="B7" s="2623"/>
      <c r="C7" s="2624"/>
      <c r="D7" s="2625">
        <f>SUM(D9,D10,D11,D17,0)</f>
        <v>0</v>
      </c>
      <c r="E7" s="2626" t="e">
        <f>E9+E10+E11+E17</f>
        <v>#DIV/0!</v>
      </c>
      <c r="F7" s="2627"/>
      <c r="G7" s="2628"/>
      <c r="H7" s="2594"/>
      <c r="I7" s="2595"/>
      <c r="J7" s="3397"/>
      <c r="K7" s="3399"/>
      <c r="L7" s="2629" t="s">
        <v>2340</v>
      </c>
      <c r="M7" s="2630"/>
      <c r="N7" s="2606"/>
      <c r="O7" s="2631"/>
      <c r="P7" s="2631"/>
      <c r="Q7" s="2632">
        <v>365</v>
      </c>
      <c r="R7" s="2633">
        <f>ROUND(M7*N7*O7*P7*Q7/10000,0)</f>
        <v>0</v>
      </c>
      <c r="S7" s="2587"/>
      <c r="T7" s="2587" t="s">
        <v>2341</v>
      </c>
      <c r="U7" s="2587"/>
      <c r="V7" s="2595"/>
    </row>
    <row r="8" spans="1:22" s="2599" customFormat="1" ht="13.15" customHeight="1">
      <c r="A8" s="2634" t="s">
        <v>2342</v>
      </c>
      <c r="B8" s="3401" t="s">
        <v>2343</v>
      </c>
      <c r="C8" s="3402"/>
      <c r="D8" s="2635" t="s">
        <v>2344</v>
      </c>
      <c r="E8" s="2636" t="s">
        <v>2345</v>
      </c>
      <c r="F8" s="2637" t="s">
        <v>2346</v>
      </c>
      <c r="G8" s="2638"/>
      <c r="H8" s="2594"/>
      <c r="I8" s="2595"/>
      <c r="J8" s="3397"/>
      <c r="K8" s="3399"/>
      <c r="L8" s="2629" t="s">
        <v>2347</v>
      </c>
      <c r="M8" s="2630"/>
      <c r="N8" s="2606"/>
      <c r="O8" s="2631"/>
      <c r="P8" s="2631"/>
      <c r="Q8" s="2632">
        <v>365</v>
      </c>
      <c r="R8" s="2633">
        <f t="shared" ref="R8:R13" si="0">ROUND(M8*N8*O8*P8*Q8/10000,0)</f>
        <v>0</v>
      </c>
      <c r="S8" s="2587"/>
      <c r="T8" s="2587" t="s">
        <v>2348</v>
      </c>
      <c r="U8" s="2587"/>
      <c r="V8" s="2595"/>
    </row>
    <row r="9" spans="1:22" s="2599" customFormat="1" ht="13.15" customHeight="1">
      <c r="A9" s="2634">
        <v>1</v>
      </c>
      <c r="B9" s="3401" t="s">
        <v>2349</v>
      </c>
      <c r="C9" s="3402"/>
      <c r="D9" s="2635">
        <f>ROUND(D6*E9,0)</f>
        <v>0</v>
      </c>
      <c r="E9" s="2639"/>
      <c r="F9" s="2640" t="s">
        <v>2350</v>
      </c>
      <c r="G9" s="2619"/>
      <c r="H9" s="2594"/>
      <c r="I9" s="2595"/>
      <c r="J9" s="3397"/>
      <c r="K9" s="3399"/>
      <c r="L9" s="2629" t="s">
        <v>2351</v>
      </c>
      <c r="M9" s="2630"/>
      <c r="N9" s="2606"/>
      <c r="O9" s="2631"/>
      <c r="P9" s="2631"/>
      <c r="Q9" s="2632">
        <v>365</v>
      </c>
      <c r="R9" s="2633">
        <f t="shared" si="0"/>
        <v>0</v>
      </c>
      <c r="S9" s="2587"/>
      <c r="T9" s="2587"/>
      <c r="U9" s="2587"/>
      <c r="V9" s="2595"/>
    </row>
    <row r="10" spans="1:22" s="2599" customFormat="1" ht="13.15" customHeight="1">
      <c r="A10" s="2634">
        <v>2</v>
      </c>
      <c r="B10" s="3401" t="s">
        <v>2352</v>
      </c>
      <c r="C10" s="3402"/>
      <c r="D10" s="2635">
        <f>ROUND(D6*E10,0)</f>
        <v>0</v>
      </c>
      <c r="E10" s="2639"/>
      <c r="F10" s="2640" t="s">
        <v>2353</v>
      </c>
      <c r="G10" s="2619"/>
      <c r="H10" s="2594"/>
      <c r="I10" s="2595"/>
      <c r="J10" s="3397"/>
      <c r="K10" s="3399"/>
      <c r="L10" s="2629" t="s">
        <v>2354</v>
      </c>
      <c r="M10" s="2630"/>
      <c r="N10" s="2606"/>
      <c r="O10" s="2631"/>
      <c r="P10" s="2631"/>
      <c r="Q10" s="2632">
        <v>365</v>
      </c>
      <c r="R10" s="2633">
        <f t="shared" si="0"/>
        <v>0</v>
      </c>
      <c r="S10" s="2587"/>
      <c r="T10" s="2587"/>
      <c r="U10" s="2587"/>
      <c r="V10" s="2595"/>
    </row>
    <row r="11" spans="1:22" s="2599" customFormat="1" ht="13.15" customHeight="1">
      <c r="A11" s="2634">
        <v>3</v>
      </c>
      <c r="B11" s="3401" t="s">
        <v>2355</v>
      </c>
      <c r="C11" s="3402"/>
      <c r="D11" s="2635">
        <f>D12+D14+D15+D16</f>
        <v>0</v>
      </c>
      <c r="E11" s="2641" t="e">
        <f>D11/D6</f>
        <v>#DIV/0!</v>
      </c>
      <c r="F11" s="2637"/>
      <c r="G11" s="2638"/>
      <c r="H11" s="2594"/>
      <c r="I11" s="2595"/>
      <c r="J11" s="3397"/>
      <c r="K11" s="3399"/>
      <c r="L11" s="2629" t="s">
        <v>2356</v>
      </c>
      <c r="M11" s="2630"/>
      <c r="N11" s="2606"/>
      <c r="O11" s="2631"/>
      <c r="P11" s="2631"/>
      <c r="Q11" s="2632">
        <v>365</v>
      </c>
      <c r="R11" s="2633">
        <f t="shared" si="0"/>
        <v>0</v>
      </c>
      <c r="S11" s="2587"/>
      <c r="T11" s="2587"/>
      <c r="U11" s="2587"/>
      <c r="V11" s="2595"/>
    </row>
    <row r="12" spans="1:22" s="2599" customFormat="1" ht="13.15" customHeight="1">
      <c r="A12" s="2642" t="s">
        <v>2357</v>
      </c>
      <c r="B12" s="3403" t="s">
        <v>2358</v>
      </c>
      <c r="C12" s="3404"/>
      <c r="D12" s="2643">
        <f>ROUND(D13*1.2%*(1-30%),0)</f>
        <v>0</v>
      </c>
      <c r="E12" s="2644">
        <v>1.2E-2</v>
      </c>
      <c r="F12" s="2637" t="s">
        <v>2359</v>
      </c>
      <c r="G12" s="2638"/>
      <c r="H12" s="2594"/>
      <c r="I12" s="2595"/>
      <c r="J12" s="3397"/>
      <c r="K12" s="3399"/>
      <c r="L12" s="2629" t="s">
        <v>2360</v>
      </c>
      <c r="M12" s="2630"/>
      <c r="N12" s="2606"/>
      <c r="O12" s="2631"/>
      <c r="P12" s="2631"/>
      <c r="Q12" s="2632">
        <v>365</v>
      </c>
      <c r="R12" s="2633">
        <f t="shared" si="0"/>
        <v>0</v>
      </c>
      <c r="S12" s="2587"/>
      <c r="T12" s="2587"/>
      <c r="U12" s="2587"/>
      <c r="V12" s="2595"/>
    </row>
    <row r="13" spans="1:22" s="2599" customFormat="1" ht="13.15" customHeight="1">
      <c r="A13" s="2642"/>
      <c r="B13" s="2645"/>
      <c r="C13" s="2646" t="s">
        <v>2361</v>
      </c>
      <c r="D13" s="2647"/>
      <c r="E13" s="2648"/>
      <c r="F13" s="2637"/>
      <c r="G13" s="2638"/>
      <c r="H13" s="2594"/>
      <c r="I13" s="2595"/>
      <c r="J13" s="3397"/>
      <c r="K13" s="3399"/>
      <c r="L13" s="2629" t="s">
        <v>2362</v>
      </c>
      <c r="M13" s="2630"/>
      <c r="N13" s="2606"/>
      <c r="O13" s="2631"/>
      <c r="P13" s="2631"/>
      <c r="Q13" s="2632">
        <v>365</v>
      </c>
      <c r="R13" s="2633">
        <f t="shared" si="0"/>
        <v>0</v>
      </c>
      <c r="S13" s="2587"/>
      <c r="T13" s="2587"/>
      <c r="U13" s="2587"/>
      <c r="V13" s="2595"/>
    </row>
    <row r="14" spans="1:22" s="2599" customFormat="1" ht="13.15" customHeight="1">
      <c r="A14" s="2642" t="s">
        <v>2363</v>
      </c>
      <c r="B14" s="3403" t="s">
        <v>2364</v>
      </c>
      <c r="C14" s="3404"/>
      <c r="D14" s="2643">
        <f>ROUND(E14*B5/10000,0)</f>
        <v>0</v>
      </c>
      <c r="E14" s="2632"/>
      <c r="F14" s="2637" t="s">
        <v>2365</v>
      </c>
      <c r="G14" s="2638"/>
      <c r="H14" s="2594"/>
      <c r="I14" s="2595"/>
      <c r="J14" s="3397"/>
      <c r="K14" s="3400"/>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2367</v>
      </c>
      <c r="B15" s="3403" t="s">
        <v>2368</v>
      </c>
      <c r="C15" s="3404"/>
      <c r="D15" s="2643">
        <f>ROUND(D6*E15,0)</f>
        <v>0</v>
      </c>
      <c r="E15" s="2644">
        <v>5.5E-2</v>
      </c>
      <c r="F15" s="2637" t="s">
        <v>2369</v>
      </c>
      <c r="G15" s="2619"/>
      <c r="H15" s="2594"/>
      <c r="I15" s="2595"/>
      <c r="J15" s="3397">
        <v>2</v>
      </c>
      <c r="K15" s="3398"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15" customHeight="1">
      <c r="A16" s="2642" t="s">
        <v>2376</v>
      </c>
      <c r="B16" s="3403" t="s">
        <v>2377</v>
      </c>
      <c r="C16" s="3404"/>
      <c r="D16" s="2654">
        <f>D6*E16</f>
        <v>0</v>
      </c>
      <c r="E16" s="2655"/>
      <c r="F16" s="2640" t="s">
        <v>2378</v>
      </c>
      <c r="G16" s="2619"/>
      <c r="H16" s="2594"/>
      <c r="I16" s="2595"/>
      <c r="J16" s="3397"/>
      <c r="K16" s="3399"/>
      <c r="L16" s="2629" t="s">
        <v>2379</v>
      </c>
      <c r="M16" s="2630"/>
      <c r="N16" s="2630"/>
      <c r="O16" s="2631"/>
      <c r="P16" s="2632">
        <v>365</v>
      </c>
      <c r="Q16" s="2606"/>
      <c r="R16" s="2653">
        <f>ROUND(M16*N16*O16*P16/10000,0)</f>
        <v>0</v>
      </c>
      <c r="S16" s="2587"/>
      <c r="T16" s="2587"/>
      <c r="U16" s="2587"/>
      <c r="V16" s="2595"/>
    </row>
    <row r="17" spans="1:22" s="2599" customFormat="1" ht="13.15" customHeight="1" thickBot="1">
      <c r="A17" s="2656">
        <v>4</v>
      </c>
      <c r="B17" s="3405" t="s">
        <v>2380</v>
      </c>
      <c r="C17" s="3406"/>
      <c r="D17" s="2657">
        <f>ROUND(D6*E17,0)</f>
        <v>0</v>
      </c>
      <c r="E17" s="2658"/>
      <c r="F17" s="2659" t="s">
        <v>2381</v>
      </c>
      <c r="G17" s="2619"/>
      <c r="H17" s="2594"/>
      <c r="I17" s="2595"/>
      <c r="J17" s="3397"/>
      <c r="K17" s="3399"/>
      <c r="L17" s="2629" t="s">
        <v>2382</v>
      </c>
      <c r="M17" s="2630"/>
      <c r="N17" s="2630"/>
      <c r="O17" s="2631"/>
      <c r="P17" s="2632">
        <v>365</v>
      </c>
      <c r="Q17" s="2606"/>
      <c r="R17" s="2653">
        <f>ROUND(M17*N17*O17*P17/10000,0)</f>
        <v>0</v>
      </c>
      <c r="S17" s="2587"/>
      <c r="T17" s="2587"/>
      <c r="U17" s="2587"/>
      <c r="V17" s="2595"/>
    </row>
    <row r="18" spans="1:22" s="2599" customFormat="1" ht="13.15" customHeight="1" thickBot="1">
      <c r="A18" s="2622" t="s">
        <v>2383</v>
      </c>
      <c r="B18" s="2623"/>
      <c r="C18" s="2623"/>
      <c r="D18" s="2660">
        <f>ROUND(D6*E18,0)</f>
        <v>0</v>
      </c>
      <c r="E18" s="2661"/>
      <c r="F18" s="2662" t="s">
        <v>2384</v>
      </c>
      <c r="G18" s="2619"/>
      <c r="H18" s="2594"/>
      <c r="I18" s="2595"/>
      <c r="J18" s="3397"/>
      <c r="K18" s="3399"/>
      <c r="L18" s="2629" t="s">
        <v>2385</v>
      </c>
      <c r="M18" s="2630"/>
      <c r="N18" s="2630"/>
      <c r="O18" s="2631"/>
      <c r="P18" s="2632">
        <v>365</v>
      </c>
      <c r="Q18" s="2606"/>
      <c r="R18" s="2653">
        <f>ROUND(M18*N18*O18*P18/10000,0)</f>
        <v>0</v>
      </c>
      <c r="S18" s="2587"/>
      <c r="T18" s="2587"/>
      <c r="U18" s="2587"/>
      <c r="V18" s="2595"/>
    </row>
    <row r="19" spans="1:22" s="2599" customFormat="1" ht="13.15" customHeight="1" thickBot="1">
      <c r="A19" s="2663" t="s">
        <v>2386</v>
      </c>
      <c r="B19" s="2617"/>
      <c r="C19" s="2617"/>
      <c r="D19" s="2617"/>
      <c r="E19" s="2617"/>
      <c r="F19" s="2618"/>
      <c r="G19" s="2638"/>
      <c r="H19" s="2594"/>
      <c r="I19" s="2595"/>
      <c r="J19" s="3397"/>
      <c r="K19" s="3400"/>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97">
        <v>3</v>
      </c>
      <c r="K20" s="3398"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15" customHeight="1">
      <c r="A21" s="2622"/>
      <c r="B21" s="2623"/>
      <c r="C21" s="2668" t="s">
        <v>2395</v>
      </c>
      <c r="D21" s="2669" t="s">
        <v>2396</v>
      </c>
      <c r="E21" s="2670" t="s">
        <v>2397</v>
      </c>
      <c r="F21" s="2666"/>
      <c r="G21" s="2638"/>
      <c r="H21" s="2594"/>
      <c r="I21" s="2595"/>
      <c r="J21" s="3397"/>
      <c r="K21" s="3399"/>
      <c r="L21" s="2629" t="s">
        <v>2398</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2399</v>
      </c>
      <c r="D22" s="2673" t="s">
        <v>2400</v>
      </c>
      <c r="E22" s="2674" t="s">
        <v>2401</v>
      </c>
      <c r="F22" s="2666"/>
      <c r="G22" s="2587"/>
      <c r="H22" s="2594"/>
      <c r="I22" s="2595"/>
      <c r="J22" s="3397"/>
      <c r="K22" s="3399"/>
      <c r="L22" s="2629" t="s">
        <v>2402</v>
      </c>
      <c r="M22" s="2630"/>
      <c r="N22" s="2630"/>
      <c r="O22" s="2631"/>
      <c r="P22" s="2632">
        <v>365</v>
      </c>
      <c r="Q22" s="2606"/>
      <c r="R22" s="2671">
        <f>ROUND(M22*N22*O22*P22/10000,0)</f>
        <v>0</v>
      </c>
      <c r="S22" s="2587"/>
      <c r="T22" s="2587"/>
      <c r="U22" s="2587"/>
      <c r="V22" s="2595"/>
    </row>
    <row r="23" spans="1:22" s="2599" customFormat="1" ht="13.15" customHeight="1">
      <c r="A23" s="2675">
        <v>1</v>
      </c>
      <c r="B23" s="2676" t="s">
        <v>2403</v>
      </c>
      <c r="C23" s="2677">
        <f>D6</f>
        <v>0</v>
      </c>
      <c r="D23" s="2678">
        <f>C23*(1+D24)</f>
        <v>0</v>
      </c>
      <c r="E23" s="2679">
        <f>D23*(1+E24)</f>
        <v>0</v>
      </c>
      <c r="F23" s="2680"/>
      <c r="G23" s="2681"/>
      <c r="H23" s="2594"/>
      <c r="I23" s="2595"/>
      <c r="J23" s="3397"/>
      <c r="K23" s="3399"/>
      <c r="L23" s="2629" t="s">
        <v>2404</v>
      </c>
      <c r="M23" s="2630"/>
      <c r="N23" s="2630"/>
      <c r="O23" s="2631"/>
      <c r="P23" s="2632">
        <v>365</v>
      </c>
      <c r="Q23" s="2606"/>
      <c r="R23" s="2671">
        <f>ROUND(M23*N23*O23*P23/10000,0)</f>
        <v>0</v>
      </c>
      <c r="S23" s="2587"/>
      <c r="T23" s="2587"/>
      <c r="U23" s="2587"/>
      <c r="V23" s="2595"/>
    </row>
    <row r="24" spans="1:22" s="2599" customFormat="1" ht="13.15" customHeight="1">
      <c r="A24" s="2682"/>
      <c r="B24" s="2683" t="s">
        <v>2405</v>
      </c>
      <c r="C24" s="2684"/>
      <c r="D24" s="2685"/>
      <c r="E24" s="2686"/>
      <c r="F24" s="2687"/>
      <c r="G24" s="2681"/>
      <c r="H24" s="2594"/>
      <c r="I24" s="2595"/>
      <c r="J24" s="3397"/>
      <c r="K24" s="3400"/>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15" customHeight="1">
      <c r="A26" s="2675">
        <v>2</v>
      </c>
      <c r="B26" s="2676" t="s">
        <v>2407</v>
      </c>
      <c r="C26" s="2677">
        <f>D7</f>
        <v>0</v>
      </c>
      <c r="D26" s="2678">
        <f>D23*D27</f>
        <v>0</v>
      </c>
      <c r="E26" s="2679">
        <f>E23*E27</f>
        <v>0</v>
      </c>
      <c r="F26" s="2680"/>
      <c r="G26" s="2681"/>
      <c r="H26" s="2594"/>
      <c r="I26" s="2595"/>
      <c r="J26" s="3407">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15" customHeight="1">
      <c r="A27" s="2682"/>
      <c r="B27" s="2683" t="s">
        <v>2413</v>
      </c>
      <c r="C27" s="2700" t="e">
        <f>E7</f>
        <v>#DIV/0!</v>
      </c>
      <c r="D27" s="2685"/>
      <c r="E27" s="2686"/>
      <c r="F27" s="2687"/>
      <c r="G27" s="2681"/>
      <c r="H27" s="2701"/>
      <c r="I27" s="2693"/>
      <c r="J27" s="3408"/>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15"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15" customHeight="1">
      <c r="A32" s="2675">
        <v>4</v>
      </c>
      <c r="B32" s="2676" t="s">
        <v>2421</v>
      </c>
      <c r="C32" s="2677">
        <f>C23-C26-C29</f>
        <v>0</v>
      </c>
      <c r="D32" s="2678">
        <f>D23-D26-D29</f>
        <v>0</v>
      </c>
      <c r="E32" s="2679">
        <f>E23-E26-E29</f>
        <v>0</v>
      </c>
      <c r="F32" s="2680"/>
      <c r="G32" s="2587"/>
      <c r="H32" s="2594"/>
      <c r="I32" s="2595"/>
      <c r="J32" s="3390" t="s">
        <v>2313</v>
      </c>
      <c r="K32" s="3391"/>
      <c r="L32" s="2596" t="s">
        <v>2314</v>
      </c>
      <c r="M32" s="2596" t="s">
        <v>2315</v>
      </c>
      <c r="N32" s="2596" t="s">
        <v>2316</v>
      </c>
      <c r="O32" s="2596" t="s">
        <v>2317</v>
      </c>
      <c r="P32" s="2596" t="s">
        <v>2318</v>
      </c>
      <c r="Q32" s="2597" t="s">
        <v>2319</v>
      </c>
      <c r="R32" s="2716" t="s">
        <v>2320</v>
      </c>
      <c r="S32" s="2587"/>
      <c r="T32" s="2587"/>
      <c r="U32" s="2587"/>
      <c r="V32" s="2693"/>
    </row>
    <row r="33" spans="1:23" s="2599" customFormat="1" ht="13.15" customHeight="1">
      <c r="A33" s="2675"/>
      <c r="B33" s="2676"/>
      <c r="C33" s="2677"/>
      <c r="D33" s="2717"/>
      <c r="E33" s="2718"/>
      <c r="F33" s="2680"/>
      <c r="G33" s="2587"/>
      <c r="H33" s="2701"/>
      <c r="I33" s="2693"/>
      <c r="J33" s="3392" t="s">
        <v>2323</v>
      </c>
      <c r="K33" s="3393"/>
      <c r="L33" s="2602"/>
      <c r="M33" s="2602"/>
      <c r="N33" s="2602"/>
      <c r="O33" s="2602"/>
      <c r="P33" s="2602"/>
      <c r="Q33" s="2603"/>
      <c r="R33" s="2719">
        <f>SUM(L33:Q33)</f>
        <v>0</v>
      </c>
      <c r="S33" s="2587"/>
      <c r="T33" s="2587"/>
      <c r="U33" s="2587"/>
      <c r="V33" s="2595"/>
    </row>
    <row r="34" spans="1:23" s="2599" customFormat="1" ht="13.15" customHeight="1">
      <c r="A34" s="2675">
        <v>5</v>
      </c>
      <c r="B34" s="2676" t="s">
        <v>2422</v>
      </c>
      <c r="C34" s="2720"/>
      <c r="D34" s="2721"/>
      <c r="E34" s="2722"/>
      <c r="F34" s="2680"/>
      <c r="G34" s="2587"/>
      <c r="H34" s="2701"/>
      <c r="I34" s="2693"/>
      <c r="J34" s="3392" t="s">
        <v>2325</v>
      </c>
      <c r="K34" s="3393"/>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15" customHeight="1" thickBot="1">
      <c r="A36" s="2675">
        <v>7</v>
      </c>
      <c r="B36" s="2729" t="s">
        <v>2424</v>
      </c>
      <c r="C36" s="2730"/>
      <c r="D36" s="2731"/>
      <c r="E36" s="2732"/>
      <c r="F36" s="2733">
        <f>C36+D36+E36</f>
        <v>0</v>
      </c>
      <c r="G36" s="2587"/>
      <c r="H36" s="2594"/>
      <c r="I36" s="2595"/>
      <c r="J36" s="3397">
        <v>1</v>
      </c>
      <c r="K36" s="3398" t="s">
        <v>2425</v>
      </c>
      <c r="L36" s="2620"/>
      <c r="M36" s="2621"/>
      <c r="N36" s="2621"/>
      <c r="O36" s="2621"/>
      <c r="P36" s="2621"/>
      <c r="Q36" s="2621"/>
      <c r="R36" s="2604" t="s">
        <v>2337</v>
      </c>
      <c r="S36" s="2587"/>
      <c r="T36" s="2587" t="s">
        <v>2338</v>
      </c>
      <c r="U36" s="2587"/>
      <c r="V36" s="2595"/>
    </row>
    <row r="37" spans="1:23" s="2599" customFormat="1" ht="13.15" customHeight="1">
      <c r="A37" s="2675"/>
      <c r="B37" s="2676"/>
      <c r="C37" s="2676"/>
      <c r="D37" s="2676"/>
      <c r="E37" s="2676"/>
      <c r="F37" s="2680"/>
      <c r="G37" s="2587"/>
      <c r="H37" s="2594"/>
      <c r="I37" s="2595"/>
      <c r="J37" s="3397"/>
      <c r="K37" s="3399"/>
      <c r="L37" s="2629"/>
      <c r="M37" s="2630"/>
      <c r="N37" s="2606"/>
      <c r="O37" s="2631"/>
      <c r="P37" s="2631"/>
      <c r="Q37" s="2632"/>
      <c r="R37" s="2633"/>
      <c r="S37" s="2587"/>
      <c r="T37" s="2587" t="s">
        <v>2341</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97"/>
      <c r="K38" s="3399"/>
      <c r="L38" s="2629"/>
      <c r="M38" s="2630"/>
      <c r="N38" s="2606"/>
      <c r="O38" s="2631"/>
      <c r="P38" s="2631"/>
      <c r="Q38" s="2632"/>
      <c r="R38" s="2633"/>
      <c r="S38" s="2587"/>
      <c r="T38" s="2587" t="s">
        <v>2348</v>
      </c>
      <c r="U38" s="2587"/>
      <c r="V38" s="2595"/>
    </row>
    <row r="39" spans="1:23" s="2599" customFormat="1" ht="13.15" customHeight="1">
      <c r="A39" s="2675">
        <v>9</v>
      </c>
      <c r="B39" s="2676" t="s">
        <v>2426</v>
      </c>
      <c r="C39" s="2643" t="e">
        <f>C38</f>
        <v>#DIV/0!</v>
      </c>
      <c r="D39" s="2676">
        <f>D38/(1+D34)^C36</f>
        <v>0</v>
      </c>
      <c r="E39" s="2676">
        <f>E38/(1+E34)^(C36+D36)</f>
        <v>0</v>
      </c>
      <c r="F39" s="2680"/>
      <c r="G39" s="2595"/>
      <c r="H39" s="2594"/>
      <c r="I39" s="2595"/>
      <c r="J39" s="3397"/>
      <c r="K39" s="3399"/>
      <c r="L39" s="2629"/>
      <c r="M39" s="2630"/>
      <c r="N39" s="2606"/>
      <c r="O39" s="2631"/>
      <c r="P39" s="2631"/>
      <c r="Q39" s="2632"/>
      <c r="R39" s="2633"/>
      <c r="S39" s="2587"/>
      <c r="T39" s="2587"/>
      <c r="U39" s="2587"/>
      <c r="V39" s="2595"/>
    </row>
    <row r="40" spans="1:23" s="2599" customFormat="1" ht="13.15" customHeight="1">
      <c r="A40" s="2734">
        <v>10</v>
      </c>
      <c r="B40" s="2676" t="s">
        <v>2427</v>
      </c>
      <c r="C40" s="2735" t="e">
        <f>C39+D39+E39</f>
        <v>#DIV/0!</v>
      </c>
      <c r="D40" s="2736"/>
      <c r="E40" s="2736"/>
      <c r="F40" s="2737"/>
      <c r="G40" s="2587"/>
      <c r="H40" s="2594"/>
      <c r="I40" s="2595"/>
      <c r="J40" s="3397"/>
      <c r="K40" s="3400"/>
      <c r="L40" s="2649" t="s">
        <v>2366</v>
      </c>
      <c r="M40" s="2650"/>
      <c r="N40" s="2650"/>
      <c r="O40" s="2651"/>
      <c r="P40" s="2651"/>
      <c r="Q40" s="2652"/>
      <c r="R40" s="2598">
        <f>SUM(R37:R39)</f>
        <v>0</v>
      </c>
      <c r="S40" s="2587"/>
      <c r="T40" s="2587"/>
      <c r="U40" s="2587"/>
      <c r="V40" s="2595"/>
    </row>
    <row r="41" spans="1:23" s="2599" customFormat="1" ht="13.15"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15" customHeight="1">
      <c r="G42" s="2594"/>
      <c r="H42" s="2594"/>
      <c r="I42" s="2595"/>
      <c r="J42" s="3407">
        <v>3</v>
      </c>
      <c r="K42" s="2695" t="s">
        <v>2408</v>
      </c>
      <c r="L42" s="2696"/>
      <c r="M42" s="2697"/>
      <c r="N42" s="2698" t="s">
        <v>2409</v>
      </c>
      <c r="O42" s="2698" t="s">
        <v>2410</v>
      </c>
      <c r="P42" s="2699" t="s">
        <v>2411</v>
      </c>
      <c r="Q42" s="2699" t="s">
        <v>2412</v>
      </c>
      <c r="R42" s="2604" t="s">
        <v>2337</v>
      </c>
      <c r="S42" s="2638"/>
      <c r="T42" s="2638"/>
      <c r="U42" s="2587"/>
      <c r="V42" s="2595"/>
    </row>
    <row r="43" spans="1:23" ht="13.15" customHeight="1">
      <c r="A43" s="2599"/>
      <c r="B43" s="2599"/>
      <c r="C43" s="2599"/>
      <c r="D43" s="2599"/>
      <c r="E43" s="2599"/>
      <c r="F43" s="2599"/>
      <c r="I43" s="2582"/>
      <c r="J43" s="3408"/>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c r="E1" s="311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0"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67180.950000000026</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ht="15">
      <c r="A4" s="343" t="s">
        <v>1666</v>
      </c>
      <c r="B4" s="344"/>
      <c r="C4" s="3427" t="s">
        <v>1667</v>
      </c>
      <c r="D4" s="3428"/>
      <c r="E4" s="3429" t="s">
        <v>1668</v>
      </c>
      <c r="F4" s="3430"/>
      <c r="G4" s="3427" t="s">
        <v>1669</v>
      </c>
      <c r="H4" s="3428"/>
      <c r="I4" s="3427" t="s">
        <v>1670</v>
      </c>
      <c r="J4" s="3428"/>
      <c r="K4" s="1741" t="s">
        <v>1671</v>
      </c>
      <c r="L4" s="2481"/>
      <c r="M4" s="2482"/>
      <c r="N4" s="2482"/>
      <c r="O4" s="2482"/>
      <c r="P4" s="3431" t="s">
        <v>1672</v>
      </c>
      <c r="Q4" s="3432"/>
      <c r="R4" s="3414" t="s">
        <v>1668</v>
      </c>
      <c r="S4" s="3415"/>
      <c r="T4" s="3414" t="s">
        <v>1669</v>
      </c>
      <c r="U4" s="3415"/>
      <c r="V4" s="3439" t="s">
        <v>1670</v>
      </c>
      <c r="W4" s="3439"/>
      <c r="X4" s="1262"/>
      <c r="Y4" s="3414" t="s">
        <v>1672</v>
      </c>
      <c r="Z4" s="3415"/>
      <c r="AA4" s="3409" t="s">
        <v>1668</v>
      </c>
      <c r="AB4" s="3409" t="s">
        <v>1669</v>
      </c>
      <c r="AC4" s="3409" t="s">
        <v>1670</v>
      </c>
    </row>
    <row r="5" spans="1:29" ht="15">
      <c r="A5" s="346"/>
      <c r="B5" s="347"/>
      <c r="C5" s="3420" t="s">
        <v>1673</v>
      </c>
      <c r="D5" s="3421"/>
      <c r="E5" s="3418" t="s">
        <v>1674</v>
      </c>
      <c r="F5" s="3419"/>
      <c r="G5" s="3420" t="s">
        <v>1675</v>
      </c>
      <c r="H5" s="3421"/>
      <c r="I5" s="3420" t="s">
        <v>1676</v>
      </c>
      <c r="J5" s="3421"/>
      <c r="K5" s="1742"/>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1742"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1743"/>
      <c r="L7" s="2483"/>
      <c r="M7" s="2435"/>
      <c r="N7" s="2435"/>
      <c r="O7" s="2435"/>
      <c r="P7" s="3412" t="s">
        <v>1680</v>
      </c>
      <c r="Q7" s="3440"/>
      <c r="R7" s="662" t="s">
        <v>20</v>
      </c>
      <c r="S7" s="663">
        <f t="shared" ref="S7:S15" si="0">F7</f>
        <v>0</v>
      </c>
      <c r="T7" s="662" t="s">
        <v>20</v>
      </c>
      <c r="U7" s="663">
        <f t="shared" ref="U7:U15" si="1">H7</f>
        <v>0</v>
      </c>
      <c r="V7" s="662" t="s">
        <v>20</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3"/>
      <c r="M8" s="2435"/>
      <c r="N8" s="2435"/>
      <c r="O8" s="2435"/>
      <c r="P8" s="3412" t="s">
        <v>1683</v>
      </c>
      <c r="Q8" s="3413"/>
      <c r="R8" s="662" t="s">
        <v>20</v>
      </c>
      <c r="S8" s="663">
        <f t="shared" si="0"/>
        <v>100</v>
      </c>
      <c r="T8" s="662" t="s">
        <v>20</v>
      </c>
      <c r="U8" s="663">
        <f t="shared" si="1"/>
        <v>100</v>
      </c>
      <c r="V8" s="662" t="s">
        <v>20</v>
      </c>
      <c r="W8" s="663">
        <f t="shared" si="2"/>
        <v>100</v>
      </c>
      <c r="X8" s="664"/>
      <c r="Y8" s="3412" t="s">
        <v>1683</v>
      </c>
      <c r="Z8" s="3413"/>
      <c r="AA8" s="50">
        <f t="shared" ref="AA8:AA19" si="3">D8/F8</f>
        <v>1</v>
      </c>
      <c r="AB8" s="50">
        <f t="shared" ref="AB8:AB19" si="4">D8/H8</f>
        <v>1</v>
      </c>
      <c r="AC8" s="50">
        <f t="shared" ref="AC8:AC19" si="5">D8/J8</f>
        <v>1</v>
      </c>
    </row>
    <row r="9" spans="1:29" s="101"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3"/>
      <c r="M9" s="2435"/>
      <c r="N9" s="2435"/>
      <c r="O9" s="2435"/>
      <c r="P9" s="3426"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1743"/>
      <c r="L10" s="2484"/>
      <c r="M10" s="2485"/>
      <c r="N10" s="2485"/>
      <c r="O10" s="2485"/>
      <c r="P10" s="3426"/>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426"/>
      <c r="Q11" s="528" t="str">
        <f t="shared" si="6"/>
        <v>容积率</v>
      </c>
      <c r="R11" s="662" t="s">
        <v>18</v>
      </c>
      <c r="S11" s="663" t="e">
        <f t="shared" si="0"/>
        <v>#N/A</v>
      </c>
      <c r="T11" s="662" t="s">
        <v>18</v>
      </c>
      <c r="U11" s="663" t="e">
        <f t="shared" si="1"/>
        <v>#N/A</v>
      </c>
      <c r="V11" s="662" t="s">
        <v>18</v>
      </c>
      <c r="W11" s="663" t="e">
        <f t="shared" si="2"/>
        <v>#N/A</v>
      </c>
      <c r="X11" s="664"/>
      <c r="Y11" s="3337"/>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3"/>
      <c r="M12" s="2435"/>
      <c r="N12" s="2435"/>
      <c r="O12" s="2435"/>
      <c r="P12" s="3426"/>
      <c r="Q12" s="528">
        <f t="shared" si="6"/>
        <v>111</v>
      </c>
      <c r="R12" s="662" t="s">
        <v>18</v>
      </c>
      <c r="S12" s="663">
        <f t="shared" si="0"/>
        <v>100</v>
      </c>
      <c r="T12" s="662" t="s">
        <v>18</v>
      </c>
      <c r="U12" s="663">
        <f t="shared" si="1"/>
        <v>100</v>
      </c>
      <c r="V12" s="662" t="s">
        <v>18</v>
      </c>
      <c r="W12" s="663">
        <f t="shared" si="2"/>
        <v>100</v>
      </c>
      <c r="X12" s="664"/>
      <c r="Y12" s="333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7"/>
      <c r="M13" s="2482"/>
      <c r="N13" s="2482"/>
      <c r="O13" s="2482"/>
      <c r="P13" s="3426"/>
      <c r="Q13" s="528">
        <f t="shared" si="6"/>
        <v>111</v>
      </c>
      <c r="R13" s="662" t="s">
        <v>18</v>
      </c>
      <c r="S13" s="663">
        <f t="shared" si="0"/>
        <v>100</v>
      </c>
      <c r="T13" s="662" t="s">
        <v>18</v>
      </c>
      <c r="U13" s="663">
        <f t="shared" si="1"/>
        <v>100</v>
      </c>
      <c r="V13" s="662" t="s">
        <v>18</v>
      </c>
      <c r="W13" s="663">
        <f t="shared" si="2"/>
        <v>100</v>
      </c>
      <c r="X13" s="664"/>
      <c r="Y13" s="3337"/>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7"/>
      <c r="M14" s="2482"/>
      <c r="N14" s="2482"/>
      <c r="O14" s="2482"/>
      <c r="P14" s="3426"/>
      <c r="Q14" s="528">
        <f t="shared" si="6"/>
        <v>111</v>
      </c>
      <c r="R14" s="662" t="s">
        <v>18</v>
      </c>
      <c r="S14" s="663">
        <f t="shared" si="0"/>
        <v>100</v>
      </c>
      <c r="T14" s="662" t="s">
        <v>18</v>
      </c>
      <c r="U14" s="663">
        <f t="shared" si="1"/>
        <v>100</v>
      </c>
      <c r="V14" s="662" t="s">
        <v>18</v>
      </c>
      <c r="W14" s="663">
        <f t="shared" si="2"/>
        <v>100</v>
      </c>
      <c r="X14" s="664"/>
      <c r="Y14" s="3337"/>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52" t="s">
        <v>1691</v>
      </c>
      <c r="Q15" s="1260" t="str">
        <f t="shared" si="6"/>
        <v>居住社区成熟度</v>
      </c>
      <c r="R15" s="665" t="s">
        <v>18</v>
      </c>
      <c r="S15" s="666">
        <f t="shared" si="0"/>
        <v>100</v>
      </c>
      <c r="T15" s="665" t="s">
        <v>18</v>
      </c>
      <c r="U15" s="666">
        <f t="shared" si="1"/>
        <v>100</v>
      </c>
      <c r="V15" s="665" t="s">
        <v>18</v>
      </c>
      <c r="W15" s="666">
        <f t="shared" si="2"/>
        <v>100</v>
      </c>
      <c r="X15" s="1262"/>
      <c r="Y15" s="3445"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7"/>
      <c r="M16" s="2482"/>
      <c r="N16" s="2482"/>
      <c r="O16" s="2482"/>
      <c r="P16" s="3453"/>
      <c r="Q16" s="1260"/>
      <c r="R16" s="665"/>
      <c r="S16" s="666"/>
      <c r="T16" s="665"/>
      <c r="U16" s="666"/>
      <c r="V16" s="665"/>
      <c r="W16" s="666"/>
      <c r="X16" s="1262"/>
      <c r="Y16" s="3446"/>
      <c r="Z16" s="1261"/>
      <c r="AA16" s="1261">
        <v>1</v>
      </c>
      <c r="AB16" s="1261">
        <v>1</v>
      </c>
      <c r="AC16" s="1261">
        <v>1</v>
      </c>
    </row>
    <row r="17" spans="1:29" ht="15">
      <c r="A17" s="365"/>
      <c r="B17" s="388" t="s">
        <v>1259</v>
      </c>
      <c r="C17" s="1751" t="str">
        <f>估价对象房地状况!C6</f>
        <v>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53"/>
      <c r="Q17" s="1260" t="str">
        <f>B17</f>
        <v>交通便捷度</v>
      </c>
      <c r="R17" s="665" t="s">
        <v>18</v>
      </c>
      <c r="S17" s="666">
        <f>F17</f>
        <v>100</v>
      </c>
      <c r="T17" s="665" t="s">
        <v>18</v>
      </c>
      <c r="U17" s="666">
        <f>H17</f>
        <v>100</v>
      </c>
      <c r="V17" s="665" t="s">
        <v>18</v>
      </c>
      <c r="W17" s="666">
        <f>J17</f>
        <v>100</v>
      </c>
      <c r="X17" s="1262"/>
      <c r="Y17" s="3446"/>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7"/>
      <c r="M18" s="2482"/>
      <c r="N18" s="2482"/>
      <c r="O18" s="2482"/>
      <c r="P18" s="3453"/>
      <c r="Q18" s="1260"/>
      <c r="R18" s="665"/>
      <c r="S18" s="666"/>
      <c r="T18" s="665"/>
      <c r="U18" s="666"/>
      <c r="V18" s="665"/>
      <c r="W18" s="666"/>
      <c r="X18" s="1262"/>
      <c r="Y18" s="3446"/>
      <c r="Z18" s="1261"/>
      <c r="AA18" s="1261">
        <v>1</v>
      </c>
      <c r="AB18" s="1261">
        <v>1</v>
      </c>
      <c r="AC18" s="1261">
        <v>1</v>
      </c>
    </row>
    <row r="19" spans="1:29" ht="15">
      <c r="A19" s="365"/>
      <c r="B19" s="388" t="s">
        <v>1258</v>
      </c>
      <c r="C19" s="1751" t="str">
        <f>估价对象房地状况!C7</f>
        <v>较好</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53"/>
      <c r="Q19" s="1260" t="str">
        <f>B19</f>
        <v>公共配套设施</v>
      </c>
      <c r="R19" s="665" t="s">
        <v>18</v>
      </c>
      <c r="S19" s="666">
        <f>F19</f>
        <v>100</v>
      </c>
      <c r="T19" s="665" t="s">
        <v>18</v>
      </c>
      <c r="U19" s="666">
        <f>H19</f>
        <v>100</v>
      </c>
      <c r="V19" s="665" t="s">
        <v>18</v>
      </c>
      <c r="W19" s="666">
        <f>J19</f>
        <v>100</v>
      </c>
      <c r="X19" s="1262"/>
      <c r="Y19" s="3446"/>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7"/>
      <c r="M20" s="2482"/>
      <c r="N20" s="2482"/>
      <c r="O20" s="2482"/>
      <c r="P20" s="3453"/>
      <c r="Q20" s="1260"/>
      <c r="R20" s="665"/>
      <c r="S20" s="666"/>
      <c r="T20" s="665"/>
      <c r="U20" s="666"/>
      <c r="V20" s="665"/>
      <c r="W20" s="666"/>
      <c r="X20" s="1262"/>
      <c r="Y20" s="3446"/>
      <c r="Z20" s="1261"/>
      <c r="AA20" s="1261">
        <v>1</v>
      </c>
      <c r="AB20" s="1261">
        <v>1</v>
      </c>
      <c r="AC20" s="1261">
        <v>1</v>
      </c>
    </row>
    <row r="21" spans="1:29" ht="15">
      <c r="A21" s="365"/>
      <c r="B21" s="584" t="s">
        <v>1260</v>
      </c>
      <c r="C21" s="1751"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53"/>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87"/>
      <c r="M22" s="2482"/>
      <c r="N22" s="2482"/>
      <c r="O22" s="2482"/>
      <c r="P22" s="3453"/>
      <c r="Q22" s="1260"/>
      <c r="R22" s="665"/>
      <c r="S22" s="666"/>
      <c r="T22" s="665"/>
      <c r="U22" s="666"/>
      <c r="V22" s="665"/>
      <c r="W22" s="666"/>
      <c r="X22" s="1262"/>
      <c r="Y22" s="3446"/>
      <c r="Z22" s="1261"/>
      <c r="AA22" s="1261">
        <v>1</v>
      </c>
      <c r="AB22" s="1261">
        <v>1</v>
      </c>
      <c r="AC22" s="1261">
        <v>1</v>
      </c>
    </row>
    <row r="23" spans="1:29" ht="28.5">
      <c r="A23" s="365"/>
      <c r="B23" s="388" t="s">
        <v>1261</v>
      </c>
      <c r="C23" s="1751" t="str">
        <f>估价对象房地状况!C9</f>
        <v>博大公园、亦庄新城滨河公园，一般</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53"/>
      <c r="Q23" s="1260" t="str">
        <f>B23</f>
        <v>自然及人文环境</v>
      </c>
      <c r="R23" s="665" t="s">
        <v>18</v>
      </c>
      <c r="S23" s="666">
        <f>F23</f>
        <v>100</v>
      </c>
      <c r="T23" s="665" t="s">
        <v>18</v>
      </c>
      <c r="U23" s="666">
        <f>H23</f>
        <v>100</v>
      </c>
      <c r="V23" s="665" t="s">
        <v>18</v>
      </c>
      <c r="W23" s="666">
        <f>J23</f>
        <v>100</v>
      </c>
      <c r="X23" s="1262"/>
      <c r="Y23" s="3446"/>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7"/>
      <c r="M24" s="2482"/>
      <c r="N24" s="2482"/>
      <c r="O24" s="2482"/>
      <c r="P24" s="3453"/>
      <c r="Q24" s="1260"/>
      <c r="R24" s="665"/>
      <c r="S24" s="666"/>
      <c r="T24" s="665"/>
      <c r="U24" s="666"/>
      <c r="V24" s="665"/>
      <c r="W24" s="666"/>
      <c r="X24" s="1262"/>
      <c r="Y24" s="3446"/>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7"/>
      <c r="M25" s="2482"/>
      <c r="N25" s="2482"/>
      <c r="O25" s="2482"/>
      <c r="P25" s="3453"/>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46"/>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7"/>
      <c r="M26" s="2482"/>
      <c r="N26" s="2482"/>
      <c r="O26" s="2482"/>
      <c r="P26" s="3453"/>
      <c r="Q26" s="1260" t="str">
        <f t="shared" si="11"/>
        <v>朝向</v>
      </c>
      <c r="R26" s="665" t="s">
        <v>18</v>
      </c>
      <c r="S26" s="666">
        <f t="shared" si="12"/>
        <v>100</v>
      </c>
      <c r="T26" s="665" t="s">
        <v>18</v>
      </c>
      <c r="U26" s="666">
        <f t="shared" si="13"/>
        <v>100</v>
      </c>
      <c r="V26" s="665" t="s">
        <v>18</v>
      </c>
      <c r="W26" s="666">
        <f t="shared" si="14"/>
        <v>100</v>
      </c>
      <c r="X26" s="1262"/>
      <c r="Y26" s="3446"/>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3"/>
      <c r="M27" s="2435"/>
      <c r="N27" s="2435"/>
      <c r="O27" s="2435"/>
      <c r="P27" s="3453"/>
      <c r="Q27" s="528">
        <f t="shared" si="11"/>
        <v>111</v>
      </c>
      <c r="R27" s="662" t="s">
        <v>18</v>
      </c>
      <c r="S27" s="663">
        <f t="shared" si="12"/>
        <v>100</v>
      </c>
      <c r="T27" s="662" t="s">
        <v>18</v>
      </c>
      <c r="U27" s="663">
        <f t="shared" si="13"/>
        <v>100</v>
      </c>
      <c r="V27" s="662" t="s">
        <v>18</v>
      </c>
      <c r="W27" s="663">
        <f t="shared" si="14"/>
        <v>100</v>
      </c>
      <c r="X27" s="664"/>
      <c r="Y27" s="3446"/>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7"/>
      <c r="M28" s="2482"/>
      <c r="N28" s="2482"/>
      <c r="O28" s="2482"/>
      <c r="P28" s="3453"/>
      <c r="Q28" s="1260">
        <f t="shared" si="11"/>
        <v>111</v>
      </c>
      <c r="R28" s="665" t="s">
        <v>18</v>
      </c>
      <c r="S28" s="666">
        <f t="shared" si="12"/>
        <v>100</v>
      </c>
      <c r="T28" s="665" t="s">
        <v>18</v>
      </c>
      <c r="U28" s="666">
        <f t="shared" si="13"/>
        <v>100</v>
      </c>
      <c r="V28" s="665" t="s">
        <v>18</v>
      </c>
      <c r="W28" s="666">
        <f t="shared" si="14"/>
        <v>100</v>
      </c>
      <c r="X28" s="1262"/>
      <c r="Y28" s="3446"/>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7"/>
      <c r="M29" s="2482"/>
      <c r="N29" s="2482"/>
      <c r="O29" s="2482"/>
      <c r="P29" s="3453"/>
      <c r="Q29" s="1260">
        <f t="shared" si="11"/>
        <v>111</v>
      </c>
      <c r="R29" s="665" t="s">
        <v>18</v>
      </c>
      <c r="S29" s="666">
        <f t="shared" si="12"/>
        <v>100</v>
      </c>
      <c r="T29" s="665" t="s">
        <v>18</v>
      </c>
      <c r="U29" s="666">
        <f t="shared" si="13"/>
        <v>100</v>
      </c>
      <c r="V29" s="665" t="s">
        <v>18</v>
      </c>
      <c r="W29" s="666">
        <f t="shared" si="14"/>
        <v>100</v>
      </c>
      <c r="X29" s="1262"/>
      <c r="Y29" s="3446"/>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7"/>
      <c r="M30" s="2482"/>
      <c r="N30" s="2482"/>
      <c r="O30" s="2482"/>
      <c r="P30" s="3453"/>
      <c r="Q30" s="1260">
        <f t="shared" si="11"/>
        <v>111</v>
      </c>
      <c r="R30" s="665" t="s">
        <v>18</v>
      </c>
      <c r="S30" s="666">
        <f t="shared" si="12"/>
        <v>100</v>
      </c>
      <c r="T30" s="665" t="s">
        <v>18</v>
      </c>
      <c r="U30" s="666">
        <f t="shared" si="13"/>
        <v>100</v>
      </c>
      <c r="V30" s="665" t="s">
        <v>18</v>
      </c>
      <c r="W30" s="666">
        <f t="shared" si="14"/>
        <v>100</v>
      </c>
      <c r="X30" s="1262"/>
      <c r="Y30" s="3446"/>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7"/>
      <c r="M31" s="2482"/>
      <c r="N31" s="2482"/>
      <c r="O31" s="2482"/>
      <c r="P31" s="3453"/>
      <c r="Q31" s="1260">
        <f t="shared" si="11"/>
        <v>111</v>
      </c>
      <c r="R31" s="665" t="s">
        <v>18</v>
      </c>
      <c r="S31" s="666">
        <f t="shared" si="12"/>
        <v>100</v>
      </c>
      <c r="T31" s="665" t="s">
        <v>18</v>
      </c>
      <c r="U31" s="666">
        <f t="shared" si="13"/>
        <v>100</v>
      </c>
      <c r="V31" s="665" t="s">
        <v>18</v>
      </c>
      <c r="W31" s="666">
        <f t="shared" si="14"/>
        <v>100</v>
      </c>
      <c r="X31" s="1262"/>
      <c r="Y31" s="3446"/>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7"/>
      <c r="M32" s="2482"/>
      <c r="N32" s="2482"/>
      <c r="O32" s="2482"/>
      <c r="P32" s="3447" t="s">
        <v>1696</v>
      </c>
      <c r="Q32" s="1260" t="str">
        <f t="shared" si="11"/>
        <v>建筑类型</v>
      </c>
      <c r="R32" s="665" t="s">
        <v>18</v>
      </c>
      <c r="S32" s="666">
        <f t="shared" si="12"/>
        <v>100</v>
      </c>
      <c r="T32" s="665" t="s">
        <v>18</v>
      </c>
      <c r="U32" s="666">
        <f t="shared" si="13"/>
        <v>100</v>
      </c>
      <c r="V32" s="665" t="s">
        <v>18</v>
      </c>
      <c r="W32" s="666">
        <f t="shared" si="14"/>
        <v>100</v>
      </c>
      <c r="X32" s="1262"/>
      <c r="Y32" s="3450"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6"/>
      <c r="M33" s="2488"/>
      <c r="N33" s="2488"/>
      <c r="O33" s="2488"/>
      <c r="P33" s="3448"/>
      <c r="Q33" s="529" t="str">
        <f t="shared" si="11"/>
        <v>项目建筑规模</v>
      </c>
      <c r="R33" s="667" t="s">
        <v>18</v>
      </c>
      <c r="S33" s="668" t="e">
        <f t="shared" si="12"/>
        <v>#N/A</v>
      </c>
      <c r="T33" s="667" t="s">
        <v>18</v>
      </c>
      <c r="U33" s="668" t="e">
        <f t="shared" si="13"/>
        <v>#N/A</v>
      </c>
      <c r="V33" s="667" t="s">
        <v>18</v>
      </c>
      <c r="W33" s="668" t="e">
        <f t="shared" si="14"/>
        <v>#N/A</v>
      </c>
      <c r="X33" s="669"/>
      <c r="Y33" s="3450"/>
      <c r="Z33" s="670"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7"/>
      <c r="M34" s="2482"/>
      <c r="N34" s="2482"/>
      <c r="O34" s="2482"/>
      <c r="P34" s="3448"/>
      <c r="Q34" s="1260" t="str">
        <f t="shared" si="11"/>
        <v>建筑结构</v>
      </c>
      <c r="R34" s="665" t="s">
        <v>18</v>
      </c>
      <c r="S34" s="666">
        <f t="shared" si="12"/>
        <v>100</v>
      </c>
      <c r="T34" s="665" t="s">
        <v>18</v>
      </c>
      <c r="U34" s="666">
        <f t="shared" si="13"/>
        <v>100</v>
      </c>
      <c r="V34" s="665" t="s">
        <v>18</v>
      </c>
      <c r="W34" s="666">
        <f t="shared" si="14"/>
        <v>100</v>
      </c>
      <c r="X34" s="1262"/>
      <c r="Y34" s="3450"/>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7"/>
      <c r="M35" s="2482"/>
      <c r="N35" s="2482"/>
      <c r="O35" s="2482"/>
      <c r="P35" s="3448"/>
      <c r="Q35" s="1260" t="str">
        <f t="shared" si="11"/>
        <v>建筑品质</v>
      </c>
      <c r="R35" s="665" t="s">
        <v>18</v>
      </c>
      <c r="S35" s="666">
        <f t="shared" si="12"/>
        <v>100</v>
      </c>
      <c r="T35" s="665" t="s">
        <v>18</v>
      </c>
      <c r="U35" s="666">
        <f t="shared" si="13"/>
        <v>100</v>
      </c>
      <c r="V35" s="665" t="s">
        <v>18</v>
      </c>
      <c r="W35" s="666">
        <f t="shared" si="14"/>
        <v>100</v>
      </c>
      <c r="X35" s="1262"/>
      <c r="Y35" s="3450"/>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7"/>
      <c r="M36" s="2482"/>
      <c r="N36" s="2482"/>
      <c r="O36" s="2482"/>
      <c r="P36" s="3448"/>
      <c r="Q36" s="1260" t="str">
        <f t="shared" si="11"/>
        <v>公共部分装修</v>
      </c>
      <c r="R36" s="665" t="s">
        <v>18</v>
      </c>
      <c r="S36" s="666">
        <f t="shared" si="12"/>
        <v>100</v>
      </c>
      <c r="T36" s="665" t="s">
        <v>18</v>
      </c>
      <c r="U36" s="666">
        <f t="shared" si="13"/>
        <v>100</v>
      </c>
      <c r="V36" s="665" t="s">
        <v>18</v>
      </c>
      <c r="W36" s="666">
        <f t="shared" si="14"/>
        <v>100</v>
      </c>
      <c r="X36" s="1262"/>
      <c r="Y36" s="3450"/>
      <c r="Z36" s="1261" t="str">
        <f t="shared" si="18"/>
        <v>公共部分装修</v>
      </c>
      <c r="AA36" s="1261">
        <f t="shared" si="15"/>
        <v>1</v>
      </c>
      <c r="AB36" s="1261">
        <f t="shared" si="16"/>
        <v>1</v>
      </c>
      <c r="AC36" s="1261">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448"/>
      <c r="Q37" s="528" t="str">
        <f t="shared" si="11"/>
        <v>成新度</v>
      </c>
      <c r="R37" s="662" t="s">
        <v>18</v>
      </c>
      <c r="S37" s="663" t="e">
        <f t="shared" si="12"/>
        <v>#N/A</v>
      </c>
      <c r="T37" s="662" t="s">
        <v>18</v>
      </c>
      <c r="U37" s="663" t="e">
        <f t="shared" si="13"/>
        <v>#N/A</v>
      </c>
      <c r="V37" s="662" t="s">
        <v>18</v>
      </c>
      <c r="W37" s="663" t="e">
        <f t="shared" si="14"/>
        <v>#N/A</v>
      </c>
      <c r="X37" s="664"/>
      <c r="Y37" s="3450"/>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7"/>
      <c r="M38" s="2482"/>
      <c r="N38" s="2482"/>
      <c r="O38" s="2482"/>
      <c r="P38" s="3448" t="s">
        <v>1696</v>
      </c>
      <c r="Q38" s="1260" t="str">
        <f t="shared" si="11"/>
        <v>物业管理</v>
      </c>
      <c r="R38" s="665" t="s">
        <v>18</v>
      </c>
      <c r="S38" s="666">
        <f t="shared" si="12"/>
        <v>100</v>
      </c>
      <c r="T38" s="665" t="s">
        <v>18</v>
      </c>
      <c r="U38" s="666">
        <f t="shared" si="13"/>
        <v>100</v>
      </c>
      <c r="V38" s="665" t="s">
        <v>18</v>
      </c>
      <c r="W38" s="666">
        <f t="shared" si="14"/>
        <v>100</v>
      </c>
      <c r="X38" s="1262"/>
      <c r="Y38" s="3450"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7"/>
      <c r="M39" s="2482"/>
      <c r="N39" s="2482"/>
      <c r="O39" s="2482"/>
      <c r="P39" s="3448"/>
      <c r="Q39" s="1260" t="str">
        <f t="shared" si="11"/>
        <v>市政基础设施</v>
      </c>
      <c r="R39" s="665" t="s">
        <v>18</v>
      </c>
      <c r="S39" s="666">
        <f t="shared" si="12"/>
        <v>100</v>
      </c>
      <c r="T39" s="665" t="s">
        <v>18</v>
      </c>
      <c r="U39" s="666">
        <f t="shared" si="13"/>
        <v>100</v>
      </c>
      <c r="V39" s="665" t="s">
        <v>18</v>
      </c>
      <c r="W39" s="666">
        <f t="shared" si="14"/>
        <v>100</v>
      </c>
      <c r="X39" s="1262"/>
      <c r="Y39" s="3450"/>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7"/>
      <c r="M40" s="2482"/>
      <c r="N40" s="2482"/>
      <c r="O40" s="2482"/>
      <c r="P40" s="3448"/>
      <c r="Q40" s="1260" t="str">
        <f t="shared" si="11"/>
        <v>房型</v>
      </c>
      <c r="R40" s="665" t="s">
        <v>18</v>
      </c>
      <c r="S40" s="666">
        <f t="shared" si="12"/>
        <v>100</v>
      </c>
      <c r="T40" s="665" t="s">
        <v>18</v>
      </c>
      <c r="U40" s="666">
        <f t="shared" si="13"/>
        <v>100</v>
      </c>
      <c r="V40" s="665" t="s">
        <v>18</v>
      </c>
      <c r="W40" s="666">
        <f t="shared" si="14"/>
        <v>100</v>
      </c>
      <c r="X40" s="1262"/>
      <c r="Y40" s="3450"/>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6"/>
      <c r="M41" s="2488"/>
      <c r="N41" s="2488"/>
      <c r="O41" s="2488"/>
      <c r="P41" s="3448"/>
      <c r="Q41" s="529" t="str">
        <f t="shared" si="11"/>
        <v>单套/主力户型建筑面积</v>
      </c>
      <c r="R41" s="667" t="s">
        <v>18</v>
      </c>
      <c r="S41" s="668">
        <f t="shared" si="12"/>
        <v>100</v>
      </c>
      <c r="T41" s="667" t="s">
        <v>18</v>
      </c>
      <c r="U41" s="668">
        <f t="shared" si="13"/>
        <v>100</v>
      </c>
      <c r="V41" s="667" t="s">
        <v>18</v>
      </c>
      <c r="W41" s="668">
        <f t="shared" si="14"/>
        <v>100</v>
      </c>
      <c r="X41" s="669"/>
      <c r="Y41" s="3450"/>
      <c r="Z41" s="670"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7"/>
      <c r="M42" s="2482"/>
      <c r="N42" s="2482"/>
      <c r="O42" s="2482"/>
      <c r="P42" s="3448"/>
      <c r="Q42" s="1260" t="str">
        <f t="shared" si="11"/>
        <v>内部装修</v>
      </c>
      <c r="R42" s="665" t="s">
        <v>18</v>
      </c>
      <c r="S42" s="666">
        <f t="shared" si="12"/>
        <v>100</v>
      </c>
      <c r="T42" s="665" t="s">
        <v>18</v>
      </c>
      <c r="U42" s="666">
        <f t="shared" si="13"/>
        <v>100</v>
      </c>
      <c r="V42" s="665" t="s">
        <v>18</v>
      </c>
      <c r="W42" s="666">
        <f t="shared" si="14"/>
        <v>100</v>
      </c>
      <c r="X42" s="1262"/>
      <c r="Y42" s="3450"/>
      <c r="Z42" s="1261" t="str">
        <f t="shared" si="18"/>
        <v>内部装修</v>
      </c>
      <c r="AA42" s="1261">
        <f t="shared" si="15"/>
        <v>1</v>
      </c>
      <c r="AB42" s="1261">
        <f t="shared" si="16"/>
        <v>1</v>
      </c>
      <c r="AC42" s="1261">
        <f t="shared" si="17"/>
        <v>1</v>
      </c>
    </row>
    <row r="43" spans="1:29" ht="15">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7"/>
      <c r="M43" s="2482"/>
      <c r="N43" s="2482"/>
      <c r="O43" s="2482"/>
      <c r="P43" s="3448"/>
      <c r="Q43" s="1260" t="str">
        <f t="shared" si="11"/>
        <v>内部装修维护情况</v>
      </c>
      <c r="R43" s="665" t="s">
        <v>18</v>
      </c>
      <c r="S43" s="666">
        <f t="shared" si="12"/>
        <v>100</v>
      </c>
      <c r="T43" s="665" t="s">
        <v>18</v>
      </c>
      <c r="U43" s="666">
        <f t="shared" si="13"/>
        <v>100</v>
      </c>
      <c r="V43" s="665" t="s">
        <v>18</v>
      </c>
      <c r="W43" s="666">
        <f t="shared" si="14"/>
        <v>100</v>
      </c>
      <c r="X43" s="1262"/>
      <c r="Y43" s="3450"/>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3"/>
      <c r="M44" s="2435"/>
      <c r="N44" s="2435"/>
      <c r="O44" s="2435"/>
      <c r="P44" s="3448"/>
      <c r="Q44" s="528">
        <f t="shared" si="11"/>
        <v>111</v>
      </c>
      <c r="R44" s="662" t="s">
        <v>18</v>
      </c>
      <c r="S44" s="663">
        <f t="shared" si="12"/>
        <v>100</v>
      </c>
      <c r="T44" s="662" t="s">
        <v>18</v>
      </c>
      <c r="U44" s="663">
        <f t="shared" si="13"/>
        <v>100</v>
      </c>
      <c r="V44" s="662" t="s">
        <v>18</v>
      </c>
      <c r="W44" s="663">
        <f t="shared" si="14"/>
        <v>100</v>
      </c>
      <c r="X44" s="664"/>
      <c r="Y44" s="3450"/>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7"/>
      <c r="M45" s="2482"/>
      <c r="N45" s="2482"/>
      <c r="O45" s="2482"/>
      <c r="P45" s="3448"/>
      <c r="Q45" s="1260">
        <f t="shared" si="11"/>
        <v>111</v>
      </c>
      <c r="R45" s="665" t="s">
        <v>18</v>
      </c>
      <c r="S45" s="666">
        <f t="shared" si="12"/>
        <v>100</v>
      </c>
      <c r="T45" s="665" t="s">
        <v>18</v>
      </c>
      <c r="U45" s="666">
        <f t="shared" si="13"/>
        <v>100</v>
      </c>
      <c r="V45" s="665" t="s">
        <v>18</v>
      </c>
      <c r="W45" s="666">
        <f t="shared" si="14"/>
        <v>100</v>
      </c>
      <c r="X45" s="1262"/>
      <c r="Y45" s="3450"/>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7"/>
      <c r="M46" s="2482"/>
      <c r="N46" s="2482"/>
      <c r="O46" s="2482"/>
      <c r="P46" s="3449"/>
      <c r="Q46" s="1260">
        <f t="shared" si="11"/>
        <v>111</v>
      </c>
      <c r="R46" s="665" t="s">
        <v>17</v>
      </c>
      <c r="S46" s="666">
        <f t="shared" si="12"/>
        <v>100</v>
      </c>
      <c r="T46" s="665" t="s">
        <v>17</v>
      </c>
      <c r="U46" s="666">
        <f t="shared" si="13"/>
        <v>100</v>
      </c>
      <c r="V46" s="665" t="s">
        <v>17</v>
      </c>
      <c r="W46" s="666">
        <f t="shared" si="14"/>
        <v>100</v>
      </c>
      <c r="X46" s="1262"/>
      <c r="Y46" s="3451"/>
      <c r="Z46" s="1261">
        <f t="shared" si="18"/>
        <v>111</v>
      </c>
      <c r="AA46" s="1261">
        <f t="shared" si="15"/>
        <v>1</v>
      </c>
      <c r="AB46" s="1261">
        <f t="shared" si="16"/>
        <v>1</v>
      </c>
      <c r="AC46" s="1261">
        <f t="shared" si="17"/>
        <v>1</v>
      </c>
    </row>
    <row r="47" spans="1:29" ht="15">
      <c r="A47" s="414" t="s">
        <v>1708</v>
      </c>
      <c r="B47" s="415"/>
      <c r="C47" s="1078" t="s">
        <v>16</v>
      </c>
      <c r="D47" s="416"/>
      <c r="E47" s="417"/>
      <c r="F47" s="418"/>
      <c r="G47" s="419"/>
      <c r="H47" s="420"/>
      <c r="I47" s="417"/>
      <c r="J47" s="420"/>
      <c r="K47" s="1764"/>
      <c r="L47" s="2489"/>
      <c r="M47" s="2482"/>
      <c r="N47" s="2482"/>
      <c r="O47" s="2482"/>
      <c r="P47" s="3444" t="str">
        <f>A47</f>
        <v>成交单价（元/平方米）</v>
      </c>
      <c r="Q47" s="3444"/>
      <c r="R47" s="3439">
        <f>E47</f>
        <v>0</v>
      </c>
      <c r="S47" s="3439"/>
      <c r="T47" s="3439">
        <f>G47</f>
        <v>0</v>
      </c>
      <c r="U47" s="3439"/>
      <c r="V47" s="3439">
        <f>I47</f>
        <v>0</v>
      </c>
      <c r="W47" s="3439"/>
      <c r="X47" s="383"/>
      <c r="Y47" s="671"/>
      <c r="Z47" s="383"/>
      <c r="AA47" s="383"/>
      <c r="AB47" s="383"/>
      <c r="AC47" s="383"/>
    </row>
    <row r="48" spans="1:29" ht="15.75" thickBot="1">
      <c r="A48" s="421" t="s">
        <v>1709</v>
      </c>
      <c r="B48" s="422"/>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44" t="str">
        <f>A48</f>
        <v>比较价值（元/平方米）</v>
      </c>
      <c r="Q48" s="3444"/>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3"/>
      <c r="Y48" s="383"/>
      <c r="Z48" s="383"/>
      <c r="AA48" s="383"/>
      <c r="AB48" s="383"/>
      <c r="AC48" s="383"/>
    </row>
    <row r="49" spans="1:29" ht="15.75" thickBot="1">
      <c r="A49" s="425" t="s">
        <v>1710</v>
      </c>
      <c r="B49" s="426"/>
      <c r="C49" s="1081" t="e">
        <f>R49</f>
        <v>#DIV/0!</v>
      </c>
      <c r="D49" s="349"/>
      <c r="E49" s="349"/>
      <c r="F49" s="349"/>
      <c r="G49" s="349"/>
      <c r="H49" s="349"/>
      <c r="I49" s="349"/>
      <c r="J49" s="349"/>
      <c r="K49" s="1765"/>
      <c r="L49" s="2489"/>
      <c r="M49" s="2482"/>
      <c r="N49" s="2482"/>
      <c r="O49" s="2482"/>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7"/>
    </row>
    <row r="55" spans="1:29" s="435"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1.75" thickBot="1">
      <c r="A57" s="656" t="s">
        <v>1714</v>
      </c>
      <c r="B57" s="383"/>
      <c r="C57" s="657"/>
      <c r="D57" s="657"/>
      <c r="E57" s="657"/>
      <c r="F57" s="658"/>
      <c r="G57" s="658"/>
      <c r="H57" s="657"/>
      <c r="I57" s="657"/>
      <c r="J57" s="657"/>
      <c r="K57" s="884"/>
      <c r="L57" s="885"/>
      <c r="M57" s="883"/>
      <c r="N57" s="883"/>
      <c r="O57" s="883"/>
      <c r="P57" s="1768"/>
      <c r="Q57" s="437"/>
    </row>
    <row r="58" spans="1:29" s="440" customFormat="1" ht="15">
      <c r="A58" s="438" t="s">
        <v>1715</v>
      </c>
      <c r="B58" s="439"/>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ht="15">
      <c r="A59" s="441"/>
      <c r="B59" s="1769"/>
      <c r="C59" s="1099">
        <v>100</v>
      </c>
      <c r="D59" s="443"/>
      <c r="E59" s="444"/>
      <c r="F59" s="444"/>
      <c r="G59" s="444"/>
      <c r="H59" s="444"/>
      <c r="I59" s="444"/>
      <c r="J59" s="444"/>
      <c r="K59" s="444"/>
      <c r="L59" s="444"/>
      <c r="M59" s="445"/>
      <c r="N59" s="444"/>
      <c r="O59" s="445"/>
      <c r="P59" s="1770"/>
    </row>
    <row r="60" spans="1:29" s="101" customFormat="1" ht="15.75" thickBot="1">
      <c r="A60" s="447" t="s">
        <v>1716</v>
      </c>
      <c r="B60" s="448"/>
      <c r="C60" s="449"/>
      <c r="D60" s="450"/>
      <c r="E60" s="450"/>
      <c r="F60" s="450"/>
      <c r="G60" s="450"/>
      <c r="H60" s="450"/>
      <c r="I60" s="450"/>
      <c r="J60" s="450"/>
      <c r="K60" s="450"/>
      <c r="L60" s="450"/>
      <c r="M60" s="451"/>
      <c r="N60" s="450"/>
      <c r="O60" s="451"/>
      <c r="P60" s="1770"/>
      <c r="Q60" s="437"/>
    </row>
    <row r="61" spans="1:29" s="101" customFormat="1" ht="15">
      <c r="A61" s="453" t="s">
        <v>1717</v>
      </c>
      <c r="B61" s="442"/>
      <c r="C61" s="454" t="s">
        <v>1718</v>
      </c>
      <c r="D61" s="31"/>
      <c r="E61" s="31"/>
      <c r="F61" s="31"/>
      <c r="G61" s="31"/>
      <c r="H61" s="31"/>
      <c r="I61" s="31"/>
      <c r="J61" s="31"/>
      <c r="K61" s="31"/>
      <c r="L61" s="455"/>
      <c r="M61" s="456"/>
      <c r="N61" s="875"/>
      <c r="O61" s="875"/>
      <c r="P61" s="1771"/>
      <c r="Q61" s="437"/>
    </row>
    <row r="62" spans="1:29" s="101" customFormat="1" ht="15.75" thickBot="1">
      <c r="A62" s="453"/>
      <c r="B62" s="442"/>
      <c r="C62" s="443">
        <v>100</v>
      </c>
      <c r="D62" s="444"/>
      <c r="E62" s="444"/>
      <c r="F62" s="444"/>
      <c r="G62" s="444"/>
      <c r="H62" s="444"/>
      <c r="I62" s="444"/>
      <c r="J62" s="444"/>
      <c r="K62" s="444"/>
      <c r="L62" s="444"/>
      <c r="M62" s="446"/>
      <c r="N62" s="875"/>
      <c r="O62" s="875"/>
      <c r="P62" s="1770"/>
      <c r="Q62" s="437"/>
    </row>
    <row r="63" spans="1:29">
      <c r="A63" s="377" t="s">
        <v>1719</v>
      </c>
      <c r="B63" s="458" t="s">
        <v>1685</v>
      </c>
      <c r="C63" s="459">
        <f>C9</f>
        <v>0</v>
      </c>
      <c r="D63" s="460"/>
      <c r="E63" s="460"/>
      <c r="F63" s="460"/>
      <c r="G63" s="460"/>
      <c r="H63" s="460"/>
      <c r="I63" s="460"/>
      <c r="J63" s="460"/>
      <c r="K63" s="461"/>
      <c r="L63" s="462"/>
      <c r="M63" s="463"/>
      <c r="N63" s="876"/>
      <c r="O63" s="876"/>
      <c r="P63" s="1772"/>
      <c r="Q63" s="437"/>
    </row>
    <row r="64" spans="1:29" ht="15.75" thickBot="1">
      <c r="A64" s="365"/>
      <c r="B64" s="464"/>
      <c r="C64" s="465">
        <v>100</v>
      </c>
      <c r="D64" s="465"/>
      <c r="E64" s="465"/>
      <c r="F64" s="465"/>
      <c r="G64" s="465"/>
      <c r="H64" s="465"/>
      <c r="I64" s="465"/>
      <c r="J64" s="465"/>
      <c r="K64" s="465"/>
      <c r="L64" s="465"/>
      <c r="M64" s="466"/>
      <c r="N64" s="877"/>
      <c r="O64" s="877"/>
      <c r="P64" s="1772"/>
      <c r="Q64" s="437"/>
    </row>
    <row r="65" spans="1:17" ht="27.75" thickTop="1">
      <c r="A65" s="365"/>
      <c r="B65" s="467" t="s">
        <v>1688</v>
      </c>
      <c r="C65" s="511"/>
      <c r="D65" s="511"/>
      <c r="E65" s="511"/>
      <c r="F65" s="511"/>
      <c r="G65" s="511"/>
      <c r="H65" s="511"/>
      <c r="I65" s="511"/>
      <c r="J65" s="511"/>
      <c r="K65" s="511"/>
      <c r="L65" s="511"/>
      <c r="M65" s="511"/>
      <c r="N65" s="877"/>
      <c r="O65" s="877"/>
      <c r="P65" s="1772"/>
      <c r="Q65" s="437"/>
    </row>
    <row r="66" spans="1:17" ht="15.75" thickBot="1">
      <c r="A66" s="365"/>
      <c r="B66" s="472"/>
      <c r="C66" s="465"/>
      <c r="D66" s="465"/>
      <c r="E66" s="465"/>
      <c r="F66" s="465"/>
      <c r="G66" s="465"/>
      <c r="H66" s="465"/>
      <c r="I66" s="465"/>
      <c r="J66" s="465"/>
      <c r="K66" s="465"/>
      <c r="L66" s="465"/>
      <c r="M66" s="466"/>
      <c r="N66" s="877"/>
      <c r="O66" s="877"/>
      <c r="P66" s="1772"/>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ht="15">
      <c r="A68" s="365"/>
      <c r="B68" s="477"/>
      <c r="C68" s="478"/>
      <c r="D68" s="478"/>
      <c r="E68" s="478"/>
      <c r="F68" s="478"/>
      <c r="G68" s="478"/>
      <c r="H68" s="478"/>
      <c r="I68" s="478"/>
      <c r="J68" s="478"/>
      <c r="K68" s="479"/>
      <c r="L68" s="480"/>
      <c r="M68" s="481"/>
      <c r="N68" s="876"/>
      <c r="O68" s="876"/>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5.75" thickTop="1">
      <c r="A70" s="482"/>
      <c r="B70" s="467">
        <f>B12</f>
        <v>111</v>
      </c>
      <c r="C70" s="483"/>
      <c r="D70" s="483"/>
      <c r="E70" s="483"/>
      <c r="F70" s="483"/>
      <c r="G70" s="483"/>
      <c r="H70" s="484"/>
      <c r="I70" s="484"/>
      <c r="J70" s="484"/>
      <c r="K70" s="484"/>
      <c r="L70" s="485"/>
      <c r="M70" s="486"/>
      <c r="N70" s="878"/>
      <c r="O70" s="878"/>
      <c r="P70" s="1773"/>
      <c r="Q70" s="488"/>
    </row>
    <row r="71" spans="1:17" s="406" customFormat="1" ht="15.75" thickBot="1">
      <c r="A71" s="482"/>
      <c r="B71" s="472"/>
      <c r="C71" s="489"/>
      <c r="D71" s="465"/>
      <c r="E71" s="465"/>
      <c r="F71" s="465"/>
      <c r="G71" s="465"/>
      <c r="H71" s="465"/>
      <c r="I71" s="465"/>
      <c r="J71" s="465"/>
      <c r="K71" s="465"/>
      <c r="L71" s="465"/>
      <c r="M71" s="466"/>
      <c r="N71" s="877"/>
      <c r="O71" s="877"/>
      <c r="P71" s="1773"/>
      <c r="Q71" s="488"/>
    </row>
    <row r="72" spans="1:17" s="406" customFormat="1" ht="15.75" thickTop="1">
      <c r="A72" s="482"/>
      <c r="B72" s="467">
        <f>B13</f>
        <v>111</v>
      </c>
      <c r="C72" s="483"/>
      <c r="D72" s="483"/>
      <c r="E72" s="483"/>
      <c r="F72" s="483"/>
      <c r="G72" s="483"/>
      <c r="H72" s="484"/>
      <c r="I72" s="484"/>
      <c r="J72" s="484"/>
      <c r="K72" s="484"/>
      <c r="L72" s="485"/>
      <c r="M72" s="486"/>
      <c r="N72" s="878"/>
      <c r="O72" s="878"/>
      <c r="P72" s="1774"/>
      <c r="Q72" s="490"/>
    </row>
    <row r="73" spans="1:17" s="406" customFormat="1" ht="15.75" thickBot="1">
      <c r="A73" s="482"/>
      <c r="B73" s="472"/>
      <c r="C73" s="489"/>
      <c r="D73" s="489"/>
      <c r="E73" s="489"/>
      <c r="F73" s="489"/>
      <c r="G73" s="489"/>
      <c r="H73" s="491"/>
      <c r="I73" s="491"/>
      <c r="J73" s="491"/>
      <c r="K73" s="491"/>
      <c r="L73" s="491"/>
      <c r="M73" s="492"/>
      <c r="N73" s="878"/>
      <c r="O73" s="878"/>
      <c r="P73" s="1773"/>
      <c r="Q73" s="488"/>
    </row>
    <row r="74" spans="1:17" s="406" customFormat="1" ht="15.75" thickTop="1">
      <c r="A74" s="482"/>
      <c r="B74" s="475">
        <f>B14</f>
        <v>111</v>
      </c>
      <c r="C74" s="483"/>
      <c r="D74" s="483"/>
      <c r="E74" s="483"/>
      <c r="F74" s="483"/>
      <c r="G74" s="31"/>
      <c r="H74" s="493"/>
      <c r="I74" s="493"/>
      <c r="J74" s="493"/>
      <c r="K74" s="493"/>
      <c r="L74" s="494"/>
      <c r="M74" s="495"/>
      <c r="N74" s="878"/>
      <c r="O74" s="878"/>
      <c r="P74" s="1775"/>
      <c r="Q74" s="488"/>
    </row>
    <row r="75" spans="1:17" s="406" customFormat="1" ht="15.75" thickBot="1">
      <c r="A75" s="497"/>
      <c r="B75" s="498"/>
      <c r="C75" s="499"/>
      <c r="D75" s="499"/>
      <c r="E75" s="499"/>
      <c r="F75" s="499"/>
      <c r="G75" s="499"/>
      <c r="H75" s="500"/>
      <c r="I75" s="500"/>
      <c r="J75" s="500"/>
      <c r="K75" s="500"/>
      <c r="L75" s="500"/>
      <c r="M75" s="501"/>
      <c r="N75" s="878"/>
      <c r="O75" s="878"/>
      <c r="P75" s="1773"/>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75" thickTop="1">
      <c r="A86" s="368"/>
      <c r="B86" s="467" t="s">
        <v>1734</v>
      </c>
      <c r="C86" s="483"/>
      <c r="D86" s="483"/>
      <c r="E86" s="483"/>
      <c r="F86" s="483"/>
      <c r="G86" s="483"/>
      <c r="H86" s="483"/>
      <c r="I86" s="483"/>
      <c r="J86" s="483"/>
      <c r="K86" s="483"/>
      <c r="L86" s="508"/>
      <c r="M86" s="509"/>
      <c r="N86" s="875"/>
      <c r="O86" s="875"/>
      <c r="P86" s="1772"/>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1" customFormat="1" ht="15.75" thickTop="1">
      <c r="A88" s="368"/>
      <c r="B88" s="467" t="s">
        <v>1735</v>
      </c>
      <c r="C88" s="483"/>
      <c r="D88" s="483"/>
      <c r="E88" s="483"/>
      <c r="F88" s="1777"/>
      <c r="G88" s="483"/>
      <c r="H88" s="483"/>
      <c r="I88" s="483"/>
      <c r="J88" s="483"/>
      <c r="K88" s="483"/>
      <c r="L88" s="483"/>
      <c r="M88" s="509"/>
      <c r="N88" s="875"/>
      <c r="O88" s="875"/>
      <c r="P88" s="1772"/>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5.75" thickTop="1">
      <c r="A90" s="482"/>
      <c r="B90" s="467">
        <f>B27</f>
        <v>111</v>
      </c>
      <c r="C90" s="483"/>
      <c r="D90" s="483"/>
      <c r="E90" s="483"/>
      <c r="F90" s="483"/>
      <c r="G90" s="483"/>
      <c r="H90" s="484"/>
      <c r="I90" s="484"/>
      <c r="J90" s="484"/>
      <c r="K90" s="484"/>
      <c r="L90" s="485"/>
      <c r="M90" s="486"/>
      <c r="N90" s="878"/>
      <c r="O90" s="878"/>
      <c r="P90" s="1773"/>
      <c r="Q90" s="488"/>
    </row>
    <row r="91" spans="1:17" s="406" customFormat="1" ht="15.75" thickBot="1">
      <c r="A91" s="482"/>
      <c r="B91" s="472"/>
      <c r="C91" s="489"/>
      <c r="D91" s="489"/>
      <c r="E91" s="489"/>
      <c r="F91" s="489"/>
      <c r="G91" s="489"/>
      <c r="H91" s="491"/>
      <c r="I91" s="491"/>
      <c r="J91" s="491"/>
      <c r="K91" s="491"/>
      <c r="L91" s="491"/>
      <c r="M91" s="492"/>
      <c r="N91" s="878"/>
      <c r="O91" s="878"/>
      <c r="P91" s="1773"/>
      <c r="Q91" s="488"/>
    </row>
    <row r="92" spans="1:17" ht="15.75" thickTop="1">
      <c r="A92" s="365"/>
      <c r="B92" s="467">
        <f>B28</f>
        <v>111</v>
      </c>
      <c r="C92" s="483"/>
      <c r="D92" s="483"/>
      <c r="E92" s="483"/>
      <c r="F92" s="483"/>
      <c r="G92" s="511"/>
      <c r="H92" s="511"/>
      <c r="I92" s="511"/>
      <c r="J92" s="511"/>
      <c r="K92" s="512"/>
      <c r="L92" s="513"/>
      <c r="M92" s="514"/>
      <c r="N92" s="876"/>
      <c r="O92" s="876"/>
      <c r="P92" s="1772"/>
      <c r="Q92" s="437"/>
    </row>
    <row r="93" spans="1:17" ht="15.75" thickBot="1">
      <c r="A93" s="365"/>
      <c r="B93" s="472"/>
      <c r="C93" s="489"/>
      <c r="D93" s="465"/>
      <c r="E93" s="465"/>
      <c r="F93" s="465"/>
      <c r="G93" s="465"/>
      <c r="H93" s="465"/>
      <c r="I93" s="465"/>
      <c r="J93" s="465"/>
      <c r="K93" s="465"/>
      <c r="L93" s="465"/>
      <c r="M93" s="466"/>
      <c r="N93" s="877"/>
      <c r="O93" s="877"/>
      <c r="P93" s="1772"/>
      <c r="Q93" s="437"/>
    </row>
    <row r="94" spans="1:17" ht="15.75" thickTop="1">
      <c r="A94" s="365"/>
      <c r="B94" s="467">
        <f>B29</f>
        <v>111</v>
      </c>
      <c r="C94" s="483"/>
      <c r="D94" s="483"/>
      <c r="E94" s="483"/>
      <c r="F94" s="483"/>
      <c r="G94" s="511"/>
      <c r="H94" s="511"/>
      <c r="I94" s="511"/>
      <c r="J94" s="511"/>
      <c r="K94" s="512"/>
      <c r="L94" s="513"/>
      <c r="M94" s="514"/>
      <c r="N94" s="876"/>
      <c r="O94" s="876"/>
      <c r="P94" s="1772"/>
      <c r="Q94" s="437"/>
    </row>
    <row r="95" spans="1:17" ht="15.75" thickBot="1">
      <c r="A95" s="365"/>
      <c r="B95" s="472"/>
      <c r="C95" s="489"/>
      <c r="D95" s="489"/>
      <c r="E95" s="489"/>
      <c r="F95" s="489"/>
      <c r="G95" s="465"/>
      <c r="H95" s="465"/>
      <c r="I95" s="465"/>
      <c r="J95" s="465"/>
      <c r="K95" s="465"/>
      <c r="L95" s="465"/>
      <c r="M95" s="466"/>
      <c r="N95" s="877"/>
      <c r="O95" s="877"/>
      <c r="P95" s="1772"/>
      <c r="Q95" s="437"/>
    </row>
    <row r="96" spans="1:17" ht="15.75" thickTop="1">
      <c r="A96" s="365"/>
      <c r="B96" s="467">
        <f>B30</f>
        <v>111</v>
      </c>
      <c r="C96" s="483"/>
      <c r="D96" s="483"/>
      <c r="E96" s="483"/>
      <c r="F96" s="483"/>
      <c r="G96" s="511"/>
      <c r="H96" s="511"/>
      <c r="I96" s="511"/>
      <c r="J96" s="511"/>
      <c r="K96" s="512"/>
      <c r="L96" s="513"/>
      <c r="M96" s="514"/>
      <c r="N96" s="876"/>
      <c r="O96" s="876"/>
      <c r="P96" s="1772"/>
      <c r="Q96" s="437"/>
    </row>
    <row r="97" spans="1:17" ht="15.75" thickBot="1">
      <c r="A97" s="365"/>
      <c r="B97" s="472"/>
      <c r="C97" s="499"/>
      <c r="D97" s="499"/>
      <c r="E97" s="499"/>
      <c r="F97" s="499"/>
      <c r="G97" s="465"/>
      <c r="H97" s="465"/>
      <c r="I97" s="465"/>
      <c r="J97" s="465"/>
      <c r="K97" s="465"/>
      <c r="L97" s="465"/>
      <c r="M97" s="466"/>
      <c r="N97" s="877"/>
      <c r="O97" s="877"/>
      <c r="P97" s="1772"/>
      <c r="Q97" s="437"/>
    </row>
    <row r="98" spans="1:17" ht="15.75" thickTop="1">
      <c r="A98" s="365"/>
      <c r="B98" s="475">
        <f>B31</f>
        <v>111</v>
      </c>
      <c r="C98" s="515"/>
      <c r="D98" s="515"/>
      <c r="E98" s="515"/>
      <c r="F98" s="515"/>
      <c r="G98" s="515"/>
      <c r="H98" s="515"/>
      <c r="I98" s="515"/>
      <c r="J98" s="515"/>
      <c r="K98" s="516"/>
      <c r="L98" s="517"/>
      <c r="M98" s="518"/>
      <c r="N98" s="876"/>
      <c r="O98" s="876"/>
      <c r="P98" s="1772"/>
      <c r="Q98" s="437"/>
    </row>
    <row r="99" spans="1:17" ht="15.75" thickBot="1">
      <c r="A99" s="373"/>
      <c r="B99" s="498"/>
      <c r="C99" s="519"/>
      <c r="D99" s="519"/>
      <c r="E99" s="519"/>
      <c r="F99" s="519"/>
      <c r="G99" s="519"/>
      <c r="H99" s="519"/>
      <c r="I99" s="519"/>
      <c r="J99" s="519"/>
      <c r="K99" s="519"/>
      <c r="L99" s="519"/>
      <c r="M99" s="520"/>
      <c r="N99" s="877"/>
      <c r="O99" s="877"/>
      <c r="P99" s="1772"/>
      <c r="Q99" s="437"/>
    </row>
    <row r="100" spans="1:17">
      <c r="A100" s="377" t="s">
        <v>1694</v>
      </c>
      <c r="B100" s="458" t="s">
        <v>1736</v>
      </c>
      <c r="C100" s="460"/>
      <c r="D100" s="460"/>
      <c r="E100" s="460"/>
      <c r="F100" s="460"/>
      <c r="G100" s="460"/>
      <c r="H100" s="460"/>
      <c r="I100" s="460"/>
      <c r="J100" s="460"/>
      <c r="K100" s="461"/>
      <c r="L100" s="462"/>
      <c r="M100" s="463"/>
      <c r="N100" s="876"/>
      <c r="O100" s="876"/>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5.75"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5.75"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5.75" thickBot="1">
      <c r="A127" s="482"/>
      <c r="B127" s="472"/>
      <c r="C127" s="489"/>
      <c r="D127" s="465"/>
      <c r="E127" s="465"/>
      <c r="F127" s="465"/>
      <c r="G127" s="489"/>
      <c r="H127" s="491"/>
      <c r="I127" s="491"/>
      <c r="J127" s="491"/>
      <c r="K127" s="491"/>
      <c r="L127" s="491"/>
      <c r="M127" s="492"/>
      <c r="N127" s="878"/>
      <c r="O127" s="878"/>
      <c r="P127" s="1773"/>
      <c r="Q127" s="488"/>
    </row>
    <row r="128" spans="1:17" ht="15" thickTop="1">
      <c r="A128" s="407"/>
      <c r="B128" s="467">
        <f>B45</f>
        <v>111</v>
      </c>
      <c r="C128" s="483"/>
      <c r="D128" s="483"/>
      <c r="E128" s="483"/>
      <c r="F128" s="483"/>
      <c r="G128" s="511"/>
      <c r="H128" s="511"/>
      <c r="I128" s="511"/>
      <c r="J128" s="511"/>
      <c r="K128" s="512"/>
      <c r="L128" s="513"/>
      <c r="M128" s="514"/>
      <c r="N128" s="876"/>
      <c r="O128" s="876"/>
      <c r="P128" s="1772"/>
      <c r="Q128" s="437"/>
    </row>
    <row r="129" spans="1:17" ht="15.75" thickBot="1">
      <c r="A129" s="365"/>
      <c r="B129" s="472"/>
      <c r="C129" s="489"/>
      <c r="D129" s="489"/>
      <c r="E129" s="489"/>
      <c r="F129" s="489"/>
      <c r="G129" s="465"/>
      <c r="H129" s="465"/>
      <c r="I129" s="465"/>
      <c r="J129" s="465"/>
      <c r="K129" s="465"/>
      <c r="L129" s="465"/>
      <c r="M129" s="466"/>
      <c r="N129" s="877"/>
      <c r="O129" s="877"/>
      <c r="P129" s="1772"/>
      <c r="Q129" s="437"/>
    </row>
    <row r="130" spans="1:17" ht="15" thickTop="1">
      <c r="A130" s="407"/>
      <c r="B130" s="475">
        <f>B46</f>
        <v>111</v>
      </c>
      <c r="C130" s="483"/>
      <c r="D130" s="483"/>
      <c r="E130" s="483"/>
      <c r="F130" s="483"/>
      <c r="G130" s="515"/>
      <c r="H130" s="515"/>
      <c r="I130" s="515"/>
      <c r="J130" s="515"/>
      <c r="K130" s="31"/>
      <c r="L130" s="455"/>
      <c r="M130" s="518"/>
      <c r="N130" s="876"/>
      <c r="O130" s="876"/>
      <c r="P130" s="1772"/>
      <c r="Q130" s="437"/>
    </row>
    <row r="131" spans="1:17" ht="15.75"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1766</v>
      </c>
      <c r="C1" s="1152" t="s">
        <v>1662</v>
      </c>
      <c r="D1" s="1139"/>
      <c r="E1" s="3119"/>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0</v>
      </c>
      <c r="C3" s="342" t="s">
        <v>1768</v>
      </c>
      <c r="D3" s="341">
        <f>IF(D1="",'数据-汇总表'!E3,SUMIF('数据-汇总表'!$C19:$C33,D1,'数据-汇总表'!$E19:$E33))</f>
        <v>67180.950000000026</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39"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39"/>
      <c r="AC5" s="3410"/>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35"/>
      <c r="Q6" s="3436"/>
      <c r="R6" s="3416"/>
      <c r="S6" s="3417"/>
      <c r="T6" s="3437"/>
      <c r="U6" s="3438"/>
      <c r="V6" s="3439"/>
      <c r="W6" s="3439"/>
      <c r="X6" s="1262"/>
      <c r="Y6" s="3437"/>
      <c r="Z6" s="3438"/>
      <c r="AA6" s="3411"/>
      <c r="AB6" s="3439"/>
      <c r="AC6" s="3411"/>
    </row>
    <row r="7" spans="1:29" s="101" customFormat="1" ht="15.7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38"/>
      <c r="L7" s="2483"/>
      <c r="M7" s="2435"/>
      <c r="N7" s="2435"/>
      <c r="O7" s="2435"/>
      <c r="P7" s="3412"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426"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38"/>
      <c r="L10" s="2484"/>
      <c r="M10" s="2485"/>
      <c r="N10" s="2485"/>
      <c r="O10" s="2485"/>
      <c r="P10" s="3426"/>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426"/>
      <c r="Q11" s="528" t="str">
        <f t="shared" si="6"/>
        <v>容积率</v>
      </c>
      <c r="R11" s="662" t="s">
        <v>14</v>
      </c>
      <c r="S11" s="663" t="e">
        <f t="shared" si="0"/>
        <v>#N/A</v>
      </c>
      <c r="T11" s="662" t="s">
        <v>14</v>
      </c>
      <c r="U11" s="663" t="e">
        <f t="shared" si="1"/>
        <v>#N/A</v>
      </c>
      <c r="V11" s="662" t="s">
        <v>14</v>
      </c>
      <c r="W11" s="663" t="e">
        <f t="shared" si="2"/>
        <v>#N/A</v>
      </c>
      <c r="X11" s="664"/>
      <c r="Y11" s="3337"/>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426"/>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426"/>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426"/>
      <c r="Q14" s="528">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15">
      <c r="A15" s="377" t="s">
        <v>1690</v>
      </c>
      <c r="B15" s="58" t="s">
        <v>1777</v>
      </c>
      <c r="C15" s="1747">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52" t="s">
        <v>1691</v>
      </c>
      <c r="Q15" s="1260" t="str">
        <f t="shared" si="6"/>
        <v>商业繁华度</v>
      </c>
      <c r="R15" s="665" t="s">
        <v>14</v>
      </c>
      <c r="S15" s="666">
        <f t="shared" si="0"/>
        <v>100</v>
      </c>
      <c r="T15" s="665" t="s">
        <v>14</v>
      </c>
      <c r="U15" s="666">
        <f t="shared" si="1"/>
        <v>100</v>
      </c>
      <c r="V15" s="665" t="s">
        <v>14</v>
      </c>
      <c r="W15" s="666">
        <f t="shared" si="2"/>
        <v>100</v>
      </c>
      <c r="X15" s="1262"/>
      <c r="Y15" s="3445"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7"/>
      <c r="M16" s="2482"/>
      <c r="N16" s="2482"/>
      <c r="O16" s="2482"/>
      <c r="P16" s="3453"/>
      <c r="Q16" s="1260"/>
      <c r="R16" s="665"/>
      <c r="S16" s="666"/>
      <c r="T16" s="665"/>
      <c r="U16" s="666"/>
      <c r="V16" s="665"/>
      <c r="W16" s="666"/>
      <c r="X16" s="1262"/>
      <c r="Y16" s="3446"/>
      <c r="Z16" s="1261"/>
      <c r="AA16" s="1261">
        <v>1</v>
      </c>
      <c r="AB16" s="1261">
        <v>1</v>
      </c>
      <c r="AC16" s="1261">
        <v>1</v>
      </c>
    </row>
    <row r="17" spans="1:29" ht="15">
      <c r="A17" s="365"/>
      <c r="B17" s="388" t="s">
        <v>1259</v>
      </c>
      <c r="C17" s="1751" t="str">
        <f>估价对象房地状况!C6</f>
        <v>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53"/>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87"/>
      <c r="M18" s="2482"/>
      <c r="N18" s="2482"/>
      <c r="O18" s="2482"/>
      <c r="P18" s="3453"/>
      <c r="Q18" s="1260"/>
      <c r="R18" s="665"/>
      <c r="S18" s="666"/>
      <c r="T18" s="665"/>
      <c r="U18" s="666"/>
      <c r="V18" s="665"/>
      <c r="W18" s="666"/>
      <c r="X18" s="1262"/>
      <c r="Y18" s="3446"/>
      <c r="Z18" s="1261"/>
      <c r="AA18" s="1261">
        <v>1</v>
      </c>
      <c r="AB18" s="1261">
        <v>1</v>
      </c>
      <c r="AC18" s="1261">
        <v>1</v>
      </c>
    </row>
    <row r="19" spans="1:29" ht="15">
      <c r="A19" s="365"/>
      <c r="B19" s="388" t="s">
        <v>1778</v>
      </c>
      <c r="C19" s="1751" t="str">
        <f>估价对象房地状况!C7</f>
        <v>较好</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53"/>
      <c r="Q19" s="1260" t="str">
        <f>B19</f>
        <v>公共配套设施</v>
      </c>
      <c r="R19" s="665" t="s">
        <v>14</v>
      </c>
      <c r="S19" s="666">
        <f>F19</f>
        <v>100</v>
      </c>
      <c r="T19" s="665" t="s">
        <v>14</v>
      </c>
      <c r="U19" s="666">
        <f>H19</f>
        <v>100</v>
      </c>
      <c r="V19" s="665" t="s">
        <v>14</v>
      </c>
      <c r="W19" s="666">
        <f>J19</f>
        <v>100</v>
      </c>
      <c r="X19" s="1262"/>
      <c r="Y19" s="3446"/>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87"/>
      <c r="M20" s="2482"/>
      <c r="N20" s="2482"/>
      <c r="O20" s="2482"/>
      <c r="P20" s="3453"/>
      <c r="Q20" s="1260"/>
      <c r="R20" s="665"/>
      <c r="S20" s="666"/>
      <c r="T20" s="665"/>
      <c r="U20" s="666"/>
      <c r="V20" s="665"/>
      <c r="W20" s="666"/>
      <c r="X20" s="1262"/>
      <c r="Y20" s="3446"/>
      <c r="Z20" s="1261"/>
      <c r="AA20" s="1261">
        <v>1</v>
      </c>
      <c r="AB20" s="1261">
        <v>1</v>
      </c>
      <c r="AC20" s="1261">
        <v>1</v>
      </c>
    </row>
    <row r="21" spans="1:29" ht="15">
      <c r="A21" s="365"/>
      <c r="B21" s="584" t="s">
        <v>1779</v>
      </c>
      <c r="C21" s="1751"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53"/>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2487"/>
      <c r="M22" s="2482"/>
      <c r="N22" s="2482"/>
      <c r="O22" s="2482"/>
      <c r="P22" s="3453"/>
      <c r="Q22" s="1260"/>
      <c r="R22" s="665"/>
      <c r="S22" s="666"/>
      <c r="T22" s="665"/>
      <c r="U22" s="666"/>
      <c r="V22" s="665"/>
      <c r="W22" s="666"/>
      <c r="X22" s="1262"/>
      <c r="Y22" s="3446"/>
      <c r="Z22" s="1261"/>
      <c r="AA22" s="1261">
        <v>1</v>
      </c>
      <c r="AB22" s="1261">
        <v>1</v>
      </c>
      <c r="AC22" s="1261">
        <v>1</v>
      </c>
    </row>
    <row r="23" spans="1:29" ht="42.75">
      <c r="A23" s="365"/>
      <c r="B23" s="388" t="s">
        <v>1261</v>
      </c>
      <c r="C23" s="1803" t="str">
        <f>估价对象房地状况!C9</f>
        <v>博大公园、亦庄新城滨河公园，一般</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53"/>
      <c r="Q23" s="1260" t="str">
        <f>B23</f>
        <v>自然及人文环境</v>
      </c>
      <c r="R23" s="665" t="s">
        <v>14</v>
      </c>
      <c r="S23" s="666">
        <f>F23</f>
        <v>100</v>
      </c>
      <c r="T23" s="665" t="s">
        <v>14</v>
      </c>
      <c r="U23" s="666">
        <f>H23</f>
        <v>100</v>
      </c>
      <c r="V23" s="665" t="s">
        <v>14</v>
      </c>
      <c r="W23" s="666">
        <f>J23</f>
        <v>100</v>
      </c>
      <c r="X23" s="1262"/>
      <c r="Y23" s="3446"/>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87"/>
      <c r="M24" s="2482"/>
      <c r="N24" s="2482"/>
      <c r="O24" s="2482"/>
      <c r="P24" s="3453"/>
      <c r="Q24" s="1260"/>
      <c r="R24" s="665"/>
      <c r="S24" s="666"/>
      <c r="T24" s="665"/>
      <c r="U24" s="666"/>
      <c r="V24" s="665"/>
      <c r="W24" s="666"/>
      <c r="X24" s="1262"/>
      <c r="Y24" s="3446"/>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53"/>
      <c r="Q25" s="1260" t="str">
        <f t="shared" ref="Q25:Q46" si="11">B25</f>
        <v>临街状况</v>
      </c>
      <c r="R25" s="665" t="s">
        <v>14</v>
      </c>
      <c r="S25" s="666">
        <f>F25</f>
        <v>100</v>
      </c>
      <c r="T25" s="665" t="s">
        <v>14</v>
      </c>
      <c r="U25" s="666">
        <f>H25</f>
        <v>100</v>
      </c>
      <c r="V25" s="665" t="s">
        <v>14</v>
      </c>
      <c r="W25" s="666">
        <f>J25</f>
        <v>100</v>
      </c>
      <c r="X25" s="1262"/>
      <c r="Y25" s="3446"/>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53"/>
      <c r="Q26" s="1260" t="str">
        <f t="shared" si="11"/>
        <v>平面位置/可视性</v>
      </c>
      <c r="R26" s="665" t="s">
        <v>14</v>
      </c>
      <c r="S26" s="666">
        <f>F26</f>
        <v>100</v>
      </c>
      <c r="T26" s="665" t="s">
        <v>14</v>
      </c>
      <c r="U26" s="666">
        <f>H26</f>
        <v>100</v>
      </c>
      <c r="V26" s="665" t="s">
        <v>14</v>
      </c>
      <c r="W26" s="666">
        <f>J26</f>
        <v>100</v>
      </c>
      <c r="X26" s="1262"/>
      <c r="Y26" s="3446"/>
      <c r="Z26" s="1261" t="str">
        <f>Q26</f>
        <v>平面位置/可视性</v>
      </c>
      <c r="AA26" s="1261">
        <f t="shared" si="3"/>
        <v>1</v>
      </c>
      <c r="AB26" s="1261">
        <f t="shared" si="4"/>
        <v>1</v>
      </c>
      <c r="AC26" s="1261">
        <f t="shared" si="5"/>
        <v>1</v>
      </c>
    </row>
    <row r="27" spans="1:29" s="101"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3"/>
      <c r="M27" s="2435"/>
      <c r="N27" s="2435"/>
      <c r="O27" s="2435"/>
      <c r="P27" s="3453"/>
      <c r="Q27" s="528" t="str">
        <f t="shared" si="11"/>
        <v>人流量</v>
      </c>
      <c r="R27" s="662" t="s">
        <v>14</v>
      </c>
      <c r="S27" s="663">
        <f>F27</f>
        <v>100</v>
      </c>
      <c r="T27" s="662" t="s">
        <v>14</v>
      </c>
      <c r="U27" s="663">
        <f>H27</f>
        <v>100</v>
      </c>
      <c r="V27" s="662" t="s">
        <v>14</v>
      </c>
      <c r="W27" s="663">
        <f>J27</f>
        <v>100</v>
      </c>
      <c r="X27" s="664"/>
      <c r="Y27" s="3446"/>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53"/>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46"/>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53"/>
      <c r="Q29" s="1260">
        <f t="shared" si="11"/>
        <v>111</v>
      </c>
      <c r="R29" s="665" t="s">
        <v>14</v>
      </c>
      <c r="S29" s="666">
        <f t="shared" si="12"/>
        <v>100</v>
      </c>
      <c r="T29" s="665" t="s">
        <v>14</v>
      </c>
      <c r="U29" s="666">
        <f t="shared" si="13"/>
        <v>100</v>
      </c>
      <c r="V29" s="665" t="s">
        <v>14</v>
      </c>
      <c r="W29" s="666">
        <f t="shared" si="14"/>
        <v>100</v>
      </c>
      <c r="X29" s="1262"/>
      <c r="Y29" s="3446"/>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53"/>
      <c r="Q30" s="1260">
        <f t="shared" si="11"/>
        <v>111</v>
      </c>
      <c r="R30" s="665" t="s">
        <v>14</v>
      </c>
      <c r="S30" s="666">
        <f t="shared" si="12"/>
        <v>100</v>
      </c>
      <c r="T30" s="665" t="s">
        <v>14</v>
      </c>
      <c r="U30" s="666">
        <f t="shared" si="13"/>
        <v>100</v>
      </c>
      <c r="V30" s="665" t="s">
        <v>14</v>
      </c>
      <c r="W30" s="666">
        <f t="shared" si="14"/>
        <v>100</v>
      </c>
      <c r="X30" s="1262"/>
      <c r="Y30" s="3446"/>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53"/>
      <c r="Q31" s="1260">
        <f t="shared" si="11"/>
        <v>111</v>
      </c>
      <c r="R31" s="665" t="s">
        <v>14</v>
      </c>
      <c r="S31" s="666">
        <f t="shared" si="12"/>
        <v>100</v>
      </c>
      <c r="T31" s="665" t="s">
        <v>14</v>
      </c>
      <c r="U31" s="666">
        <f t="shared" si="13"/>
        <v>100</v>
      </c>
      <c r="V31" s="665" t="s">
        <v>14</v>
      </c>
      <c r="W31" s="666">
        <f t="shared" si="14"/>
        <v>100</v>
      </c>
      <c r="X31" s="1262"/>
      <c r="Y31" s="3446"/>
      <c r="Z31" s="1261">
        <f t="shared" si="15"/>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87"/>
      <c r="M32" s="2482"/>
      <c r="N32" s="2482"/>
      <c r="O32" s="2482"/>
      <c r="P32" s="3447" t="s">
        <v>1696</v>
      </c>
      <c r="Q32" s="1260" t="str">
        <f t="shared" si="11"/>
        <v>商业类型</v>
      </c>
      <c r="R32" s="665" t="s">
        <v>14</v>
      </c>
      <c r="S32" s="666">
        <f t="shared" si="12"/>
        <v>100</v>
      </c>
      <c r="T32" s="665" t="s">
        <v>14</v>
      </c>
      <c r="U32" s="666">
        <f t="shared" si="13"/>
        <v>100</v>
      </c>
      <c r="V32" s="665" t="s">
        <v>14</v>
      </c>
      <c r="W32" s="666">
        <f t="shared" si="14"/>
        <v>100</v>
      </c>
      <c r="X32" s="1262"/>
      <c r="Y32" s="3450"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448"/>
      <c r="Q33" s="529" t="str">
        <f t="shared" si="11"/>
        <v>项目建筑规模</v>
      </c>
      <c r="R33" s="667" t="s">
        <v>14</v>
      </c>
      <c r="S33" s="668" t="e">
        <f t="shared" si="12"/>
        <v>#N/A</v>
      </c>
      <c r="T33" s="667" t="s">
        <v>14</v>
      </c>
      <c r="U33" s="668" t="e">
        <f t="shared" si="13"/>
        <v>#N/A</v>
      </c>
      <c r="V33" s="667" t="s">
        <v>14</v>
      </c>
      <c r="W33" s="668" t="e">
        <f t="shared" si="14"/>
        <v>#N/A</v>
      </c>
      <c r="X33" s="669"/>
      <c r="Y33" s="3450"/>
      <c r="Z33" s="670"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48"/>
      <c r="Q34" s="1260" t="str">
        <f t="shared" si="11"/>
        <v>建筑结构</v>
      </c>
      <c r="R34" s="665" t="s">
        <v>14</v>
      </c>
      <c r="S34" s="666">
        <f t="shared" si="12"/>
        <v>100</v>
      </c>
      <c r="T34" s="665" t="s">
        <v>14</v>
      </c>
      <c r="U34" s="666">
        <f t="shared" si="13"/>
        <v>100</v>
      </c>
      <c r="V34" s="665" t="s">
        <v>14</v>
      </c>
      <c r="W34" s="666">
        <f t="shared" si="14"/>
        <v>100</v>
      </c>
      <c r="X34" s="1262"/>
      <c r="Y34" s="3450"/>
      <c r="Z34" s="1261" t="str">
        <f t="shared" si="15"/>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87"/>
      <c r="M35" s="2482"/>
      <c r="N35" s="2482"/>
      <c r="O35" s="2482"/>
      <c r="P35" s="3448"/>
      <c r="Q35" s="1260" t="str">
        <f t="shared" si="11"/>
        <v>公共部分装修</v>
      </c>
      <c r="R35" s="665" t="s">
        <v>14</v>
      </c>
      <c r="S35" s="666">
        <f t="shared" si="12"/>
        <v>100</v>
      </c>
      <c r="T35" s="665" t="s">
        <v>14</v>
      </c>
      <c r="U35" s="666">
        <f t="shared" si="13"/>
        <v>100</v>
      </c>
      <c r="V35" s="665" t="s">
        <v>14</v>
      </c>
      <c r="W35" s="666">
        <f t="shared" si="14"/>
        <v>100</v>
      </c>
      <c r="X35" s="1262"/>
      <c r="Y35" s="3450"/>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48"/>
      <c r="Q36" s="1260" t="str">
        <f t="shared" si="11"/>
        <v>成新度</v>
      </c>
      <c r="R36" s="665" t="s">
        <v>14</v>
      </c>
      <c r="S36" s="666" t="e">
        <f t="shared" si="12"/>
        <v>#N/A</v>
      </c>
      <c r="T36" s="665" t="s">
        <v>14</v>
      </c>
      <c r="U36" s="666" t="e">
        <f t="shared" si="13"/>
        <v>#N/A</v>
      </c>
      <c r="V36" s="665" t="s">
        <v>14</v>
      </c>
      <c r="W36" s="666" t="e">
        <f t="shared" si="14"/>
        <v>#N/A</v>
      </c>
      <c r="X36" s="1262"/>
      <c r="Y36" s="3450"/>
      <c r="Z36" s="1261" t="str">
        <f t="shared" si="15"/>
        <v>成新度</v>
      </c>
      <c r="AA36" s="1261" t="e">
        <f t="shared" si="3"/>
        <v>#N/A</v>
      </c>
      <c r="AB36" s="1261" t="e">
        <f t="shared" si="4"/>
        <v>#N/A</v>
      </c>
      <c r="AC36" s="1261" t="e">
        <f t="shared" si="5"/>
        <v>#N/A</v>
      </c>
    </row>
    <row r="37" spans="1:29" s="101"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3"/>
      <c r="M37" s="2435"/>
      <c r="N37" s="2435"/>
      <c r="O37" s="2435"/>
      <c r="P37" s="3448"/>
      <c r="Q37" s="528" t="str">
        <f t="shared" si="11"/>
        <v>市政基础设施</v>
      </c>
      <c r="R37" s="662" t="s">
        <v>14</v>
      </c>
      <c r="S37" s="663">
        <f t="shared" si="12"/>
        <v>100</v>
      </c>
      <c r="T37" s="662" t="s">
        <v>14</v>
      </c>
      <c r="U37" s="663">
        <f t="shared" si="13"/>
        <v>100</v>
      </c>
      <c r="V37" s="662" t="s">
        <v>14</v>
      </c>
      <c r="W37" s="663">
        <f t="shared" si="14"/>
        <v>100</v>
      </c>
      <c r="X37" s="664"/>
      <c r="Y37" s="3450"/>
      <c r="Z37" s="50" t="str">
        <f t="shared" si="15"/>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87"/>
      <c r="M38" s="2482"/>
      <c r="N38" s="2482"/>
      <c r="O38" s="2482"/>
      <c r="P38" s="3448" t="s">
        <v>1696</v>
      </c>
      <c r="Q38" s="1260" t="str">
        <f t="shared" si="11"/>
        <v>业态</v>
      </c>
      <c r="R38" s="665" t="s">
        <v>14</v>
      </c>
      <c r="S38" s="666">
        <f t="shared" si="12"/>
        <v>100</v>
      </c>
      <c r="T38" s="665" t="s">
        <v>14</v>
      </c>
      <c r="U38" s="666">
        <f t="shared" si="13"/>
        <v>100</v>
      </c>
      <c r="V38" s="665" t="s">
        <v>14</v>
      </c>
      <c r="W38" s="666">
        <f t="shared" si="14"/>
        <v>100</v>
      </c>
      <c r="X38" s="1262"/>
      <c r="Y38" s="3450" t="s">
        <v>1696</v>
      </c>
      <c r="Z38" s="1261" t="str">
        <f t="shared" si="15"/>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87"/>
      <c r="M39" s="2482"/>
      <c r="N39" s="2482"/>
      <c r="O39" s="2482"/>
      <c r="P39" s="3448"/>
      <c r="Q39" s="1260" t="str">
        <f t="shared" si="11"/>
        <v>层高</v>
      </c>
      <c r="R39" s="665" t="s">
        <v>14</v>
      </c>
      <c r="S39" s="666">
        <f t="shared" si="12"/>
        <v>100</v>
      </c>
      <c r="T39" s="665" t="s">
        <v>14</v>
      </c>
      <c r="U39" s="666">
        <f t="shared" si="13"/>
        <v>100</v>
      </c>
      <c r="V39" s="665" t="s">
        <v>14</v>
      </c>
      <c r="W39" s="666">
        <f t="shared" si="14"/>
        <v>100</v>
      </c>
      <c r="X39" s="1262"/>
      <c r="Y39" s="3450"/>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48"/>
      <c r="Q40" s="1260" t="str">
        <f t="shared" si="11"/>
        <v>单套建筑面积</v>
      </c>
      <c r="R40" s="665" t="s">
        <v>14</v>
      </c>
      <c r="S40" s="666">
        <f t="shared" si="12"/>
        <v>100</v>
      </c>
      <c r="T40" s="665" t="s">
        <v>14</v>
      </c>
      <c r="U40" s="666">
        <f t="shared" si="13"/>
        <v>100</v>
      </c>
      <c r="V40" s="665" t="s">
        <v>14</v>
      </c>
      <c r="W40" s="666">
        <f t="shared" si="14"/>
        <v>100</v>
      </c>
      <c r="X40" s="1262"/>
      <c r="Y40" s="3450"/>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48"/>
      <c r="Q41" s="529" t="str">
        <f t="shared" si="11"/>
        <v>进深比</v>
      </c>
      <c r="R41" s="667" t="s">
        <v>14</v>
      </c>
      <c r="S41" s="668">
        <f t="shared" si="12"/>
        <v>100</v>
      </c>
      <c r="T41" s="667" t="s">
        <v>14</v>
      </c>
      <c r="U41" s="668">
        <f t="shared" si="13"/>
        <v>100</v>
      </c>
      <c r="V41" s="667" t="s">
        <v>14</v>
      </c>
      <c r="W41" s="668">
        <f t="shared" si="14"/>
        <v>100</v>
      </c>
      <c r="X41" s="669"/>
      <c r="Y41" s="3450"/>
      <c r="Z41" s="670"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7"/>
      <c r="M42" s="2482"/>
      <c r="N42" s="2482"/>
      <c r="O42" s="2482"/>
      <c r="P42" s="3448"/>
      <c r="Q42" s="1260" t="str">
        <f t="shared" si="11"/>
        <v>内部装修</v>
      </c>
      <c r="R42" s="665" t="s">
        <v>14</v>
      </c>
      <c r="S42" s="666">
        <f t="shared" si="12"/>
        <v>100</v>
      </c>
      <c r="T42" s="665" t="s">
        <v>14</v>
      </c>
      <c r="U42" s="666">
        <f t="shared" si="13"/>
        <v>100</v>
      </c>
      <c r="V42" s="665" t="s">
        <v>14</v>
      </c>
      <c r="W42" s="666">
        <f t="shared" si="14"/>
        <v>100</v>
      </c>
      <c r="X42" s="1262"/>
      <c r="Y42" s="3450"/>
      <c r="Z42" s="1261" t="str">
        <f t="shared" si="15"/>
        <v>内部装修</v>
      </c>
      <c r="AA42" s="1261">
        <f t="shared" si="3"/>
        <v>1</v>
      </c>
      <c r="AB42" s="1261">
        <f t="shared" si="4"/>
        <v>1</v>
      </c>
      <c r="AC42" s="1261">
        <f t="shared" si="5"/>
        <v>1</v>
      </c>
    </row>
    <row r="43" spans="1:29" ht="15">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7"/>
      <c r="M43" s="2482"/>
      <c r="N43" s="2482"/>
      <c r="O43" s="2482"/>
      <c r="P43" s="3448"/>
      <c r="Q43" s="1260" t="str">
        <f t="shared" si="11"/>
        <v>内部装修维护情况</v>
      </c>
      <c r="R43" s="665" t="s">
        <v>14</v>
      </c>
      <c r="S43" s="666">
        <f t="shared" si="12"/>
        <v>100</v>
      </c>
      <c r="T43" s="665" t="s">
        <v>14</v>
      </c>
      <c r="U43" s="666">
        <f t="shared" si="13"/>
        <v>100</v>
      </c>
      <c r="V43" s="665" t="s">
        <v>14</v>
      </c>
      <c r="W43" s="666">
        <f t="shared" si="14"/>
        <v>100</v>
      </c>
      <c r="X43" s="1262"/>
      <c r="Y43" s="3450"/>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448"/>
      <c r="Q44" s="528">
        <f t="shared" si="11"/>
        <v>111</v>
      </c>
      <c r="R44" s="662" t="s">
        <v>14</v>
      </c>
      <c r="S44" s="663">
        <f t="shared" si="12"/>
        <v>100</v>
      </c>
      <c r="T44" s="662" t="s">
        <v>14</v>
      </c>
      <c r="U44" s="663">
        <f t="shared" si="13"/>
        <v>100</v>
      </c>
      <c r="V44" s="662" t="s">
        <v>14</v>
      </c>
      <c r="W44" s="663">
        <f t="shared" si="14"/>
        <v>100</v>
      </c>
      <c r="X44" s="664"/>
      <c r="Y44" s="3450"/>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48"/>
      <c r="Q45" s="1260">
        <f t="shared" si="11"/>
        <v>111</v>
      </c>
      <c r="R45" s="665" t="s">
        <v>14</v>
      </c>
      <c r="S45" s="666">
        <f t="shared" si="12"/>
        <v>100</v>
      </c>
      <c r="T45" s="665" t="s">
        <v>14</v>
      </c>
      <c r="U45" s="666">
        <f t="shared" si="13"/>
        <v>100</v>
      </c>
      <c r="V45" s="665" t="s">
        <v>14</v>
      </c>
      <c r="W45" s="666">
        <f t="shared" si="14"/>
        <v>100</v>
      </c>
      <c r="X45" s="1262"/>
      <c r="Y45" s="3450"/>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49"/>
      <c r="Q46" s="1260">
        <f t="shared" si="11"/>
        <v>111</v>
      </c>
      <c r="R46" s="665" t="s">
        <v>14</v>
      </c>
      <c r="S46" s="666">
        <f t="shared" si="12"/>
        <v>100</v>
      </c>
      <c r="T46" s="665" t="s">
        <v>14</v>
      </c>
      <c r="U46" s="666">
        <f t="shared" si="13"/>
        <v>100</v>
      </c>
      <c r="V46" s="665" t="s">
        <v>14</v>
      </c>
      <c r="W46" s="666">
        <f t="shared" si="14"/>
        <v>100</v>
      </c>
      <c r="X46" s="1262"/>
      <c r="Y46" s="3451"/>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89"/>
      <c r="M47" s="2482"/>
      <c r="N47" s="2482"/>
      <c r="O47" s="2482"/>
      <c r="P47" s="3444" t="str">
        <f>A47</f>
        <v>成交单价（元/平方米）</v>
      </c>
      <c r="Q47" s="3444"/>
      <c r="R47" s="3439">
        <f>E47</f>
        <v>0</v>
      </c>
      <c r="S47" s="3439"/>
      <c r="T47" s="3439">
        <f>G47</f>
        <v>0</v>
      </c>
      <c r="U47" s="3439"/>
      <c r="V47" s="3439">
        <f>I47</f>
        <v>0</v>
      </c>
      <c r="W47" s="3439"/>
      <c r="X47" s="383"/>
      <c r="Y47" s="671"/>
      <c r="Z47" s="383"/>
      <c r="AA47" s="383"/>
      <c r="AB47" s="383"/>
      <c r="AC47" s="383"/>
    </row>
    <row r="48" spans="1:29" ht="15.75" thickBot="1">
      <c r="A48" s="421" t="s">
        <v>1793</v>
      </c>
      <c r="B48" s="422"/>
      <c r="C48" s="1079" t="e">
        <f>R49</f>
        <v>#DIV/0!</v>
      </c>
      <c r="D48" s="2138" t="s">
        <v>2138</v>
      </c>
      <c r="E48" s="1080" t="e">
        <f>R48</f>
        <v>#DIV/0!</v>
      </c>
      <c r="F48" s="2139"/>
      <c r="G48" s="1079" t="e">
        <f>T48</f>
        <v>#DIV/0!</v>
      </c>
      <c r="H48" s="2139"/>
      <c r="I48" s="1080" t="e">
        <f>V48</f>
        <v>#DIV/0!</v>
      </c>
      <c r="J48" s="2139"/>
      <c r="K48" s="2141">
        <f>F48+H48+J48</f>
        <v>0</v>
      </c>
      <c r="L48" s="2489"/>
      <c r="M48" s="2482"/>
      <c r="N48" s="2482"/>
      <c r="O48" s="2482"/>
      <c r="P48" s="3444" t="str">
        <f>A48</f>
        <v>比较价值（元/平方米）</v>
      </c>
      <c r="Q48" s="3444"/>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89"/>
      <c r="M49" s="2482"/>
      <c r="N49" s="2482"/>
      <c r="O49" s="2482"/>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6" t="s">
        <v>1798</v>
      </c>
      <c r="B57" s="383"/>
      <c r="C57" s="657"/>
      <c r="D57" s="657"/>
      <c r="E57" s="657"/>
      <c r="F57" s="658"/>
      <c r="G57" s="658"/>
      <c r="H57" s="657"/>
      <c r="I57" s="657"/>
      <c r="J57" s="657"/>
      <c r="K57" s="659"/>
      <c r="L57" s="885"/>
      <c r="M57" s="883"/>
      <c r="N57" s="883"/>
      <c r="O57" s="883"/>
      <c r="P57" s="2502"/>
      <c r="Q57" s="2503"/>
      <c r="R57" s="2482"/>
      <c r="S57" s="2482"/>
      <c r="T57" s="2482"/>
      <c r="U57" s="2482"/>
      <c r="V57" s="2482"/>
      <c r="W57" s="2482"/>
      <c r="X57" s="2482"/>
      <c r="Y57" s="2482"/>
      <c r="Z57" s="2482"/>
      <c r="AA57" s="2482"/>
      <c r="AB57" s="2482"/>
      <c r="AC57" s="2482"/>
    </row>
    <row r="58" spans="1:29" s="440" customFormat="1" ht="15">
      <c r="A58" s="438" t="s">
        <v>1679</v>
      </c>
      <c r="B58" s="439"/>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4"/>
      <c r="Q58" s="2505"/>
      <c r="R58" s="2505"/>
      <c r="S58" s="2505"/>
      <c r="T58" s="2505"/>
      <c r="U58" s="2505"/>
      <c r="V58" s="2505"/>
      <c r="W58" s="2505"/>
      <c r="X58" s="2505"/>
      <c r="Y58" s="2505"/>
      <c r="Z58" s="2505"/>
      <c r="AA58" s="2505"/>
      <c r="AB58" s="2505"/>
      <c r="AC58" s="2505"/>
    </row>
    <row r="59" spans="1:29" s="101" customFormat="1" ht="15">
      <c r="A59" s="441"/>
      <c r="B59" s="442"/>
      <c r="C59" s="1099">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1" customFormat="1" ht="15.7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1" customFormat="1" ht="15">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1" customFormat="1" ht="15.75"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5.75"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7.75"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5.75"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5.75"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5.75"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5.75"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5.75"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5.75"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5.75"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7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7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75" thickTop="1">
      <c r="A82" s="365"/>
      <c r="B82" s="475" t="s">
        <v>1779</v>
      </c>
      <c r="C82" s="579" t="s">
        <v>1799</v>
      </c>
      <c r="D82" s="579" t="s">
        <v>1800</v>
      </c>
      <c r="E82" s="579" t="s">
        <v>1801</v>
      </c>
      <c r="F82" s="579" t="s">
        <v>1802</v>
      </c>
      <c r="G82" s="579" t="s">
        <v>1803</v>
      </c>
      <c r="H82" s="468"/>
      <c r="I82" s="468"/>
      <c r="J82" s="468"/>
      <c r="K82" s="468"/>
      <c r="L82" s="468"/>
      <c r="M82" s="1060"/>
      <c r="N82" s="2517"/>
      <c r="O82" s="2517"/>
      <c r="P82" s="2508"/>
      <c r="Q82" s="2503"/>
      <c r="R82" s="2482"/>
      <c r="S82" s="2482"/>
      <c r="T82" s="2482"/>
      <c r="U82" s="2482"/>
      <c r="V82" s="2482"/>
      <c r="W82" s="2482"/>
      <c r="X82" s="2482"/>
      <c r="Y82" s="2482"/>
      <c r="Z82" s="2482"/>
      <c r="AA82" s="2482"/>
      <c r="AB82" s="2482"/>
      <c r="AC82" s="2482"/>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7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1" customFormat="1" ht="15.7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1" customFormat="1" ht="15.75" thickTop="1">
      <c r="A88" s="368"/>
      <c r="B88" s="467" t="str">
        <f>B26</f>
        <v>平面位置/可视性</v>
      </c>
      <c r="C88" s="483"/>
      <c r="D88" s="483"/>
      <c r="E88" s="483"/>
      <c r="F88" s="1777"/>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1" customFormat="1" ht="15.75"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5.75"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5.75"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5.75"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5.75"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5.75"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5.75"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5.75"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5.75"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5.75"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5.75"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5"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5.75"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5"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5.75"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5"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5.75"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受贵公司委托，我公司对北京经济技术开发区荣华中路19号1号楼房地产抵押价值进行了预评估。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估价对象为北京经济技术开发区荣华中路19号1号楼房地产，为北京朝林实业有限公司所有。根据《国有土地使用证》[]，估价对象（分摊）出让国有建设用地使用权面积为0平方米，建筑面积为67180.95平方米。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经济技术开发区荣华中路19号1号楼房地产,属北京朝林实业有限公司开发建设的，该项目尚在开发建设中。根据《国有土地使用证》[]，估价对象（分摊）出让国有建设用地使用权面积为0平方米，规划建筑面积为67180.95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2025年3月19日（评估专业人员实地查勘之日）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67180.950000000026</v>
      </c>
      <c r="E3" s="1802"/>
      <c r="F3" s="853"/>
      <c r="G3" s="852"/>
      <c r="H3" s="852"/>
      <c r="I3" s="852"/>
      <c r="J3" s="852"/>
      <c r="K3" s="854"/>
      <c r="L3" s="2498"/>
      <c r="M3" s="2499"/>
      <c r="N3" s="2499"/>
      <c r="O3" s="2499"/>
      <c r="P3" s="339"/>
      <c r="Q3" s="339"/>
      <c r="R3" s="339"/>
      <c r="S3" s="339"/>
      <c r="T3" s="339"/>
      <c r="U3" s="339"/>
      <c r="V3" s="339"/>
      <c r="W3" s="339"/>
      <c r="X3" s="339"/>
      <c r="Y3" s="339"/>
      <c r="Z3" s="339"/>
      <c r="AA3" s="339"/>
      <c r="AB3" s="339"/>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60" t="s">
        <v>1775</v>
      </c>
      <c r="Q4" s="3461"/>
      <c r="R4" s="3455" t="s">
        <v>1771</v>
      </c>
      <c r="S4" s="3456"/>
      <c r="T4" s="3455" t="s">
        <v>1772</v>
      </c>
      <c r="U4" s="3456"/>
      <c r="V4" s="3464" t="s">
        <v>1773</v>
      </c>
      <c r="W4" s="3464"/>
      <c r="X4" s="1806"/>
      <c r="Y4" s="3455" t="s">
        <v>1775</v>
      </c>
      <c r="Z4" s="3456"/>
      <c r="AA4" s="3454" t="s">
        <v>1771</v>
      </c>
      <c r="AB4" s="3454" t="s">
        <v>1772</v>
      </c>
      <c r="AC4" s="3457" t="s">
        <v>1773</v>
      </c>
    </row>
    <row r="5" spans="1:29" ht="15">
      <c r="A5" s="346"/>
      <c r="B5" s="347"/>
      <c r="C5" s="3420" t="s">
        <v>1673</v>
      </c>
      <c r="D5" s="3421"/>
      <c r="E5" s="3418" t="s">
        <v>1674</v>
      </c>
      <c r="F5" s="3419"/>
      <c r="G5" s="3420" t="s">
        <v>1675</v>
      </c>
      <c r="H5" s="3421"/>
      <c r="I5" s="3420" t="s">
        <v>1676</v>
      </c>
      <c r="J5" s="3421"/>
      <c r="K5" s="535"/>
      <c r="L5" s="2481"/>
      <c r="M5" s="2482"/>
      <c r="N5" s="2482"/>
      <c r="O5" s="2482"/>
      <c r="P5" s="3462"/>
      <c r="Q5" s="3434"/>
      <c r="R5" s="3416"/>
      <c r="S5" s="3417"/>
      <c r="T5" s="3416"/>
      <c r="U5" s="3417"/>
      <c r="V5" s="3439"/>
      <c r="W5" s="3439"/>
      <c r="X5" s="1262"/>
      <c r="Y5" s="3416"/>
      <c r="Z5" s="3417"/>
      <c r="AA5" s="3410"/>
      <c r="AB5" s="3410"/>
      <c r="AC5" s="3458"/>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63"/>
      <c r="Q6" s="3436"/>
      <c r="R6" s="3416"/>
      <c r="S6" s="3417"/>
      <c r="T6" s="3437"/>
      <c r="U6" s="3438"/>
      <c r="V6" s="3439"/>
      <c r="W6" s="3439"/>
      <c r="X6" s="1262"/>
      <c r="Y6" s="3437"/>
      <c r="Z6" s="3438"/>
      <c r="AA6" s="3411"/>
      <c r="AB6" s="3411"/>
      <c r="AC6" s="3459"/>
    </row>
    <row r="7" spans="1:29" s="101" customFormat="1" ht="15.75" thickBot="1">
      <c r="A7" s="350" t="s">
        <v>1679</v>
      </c>
      <c r="B7" s="351"/>
      <c r="C7" s="352">
        <f>'数据-取费表'!B2</f>
        <v>45735</v>
      </c>
      <c r="D7" s="353">
        <v>100</v>
      </c>
      <c r="E7" s="354"/>
      <c r="F7" s="355">
        <f>SUMIF(59:59,YEAR(E7)&amp;"-"&amp;MONTH(E7),60:60)</f>
        <v>0</v>
      </c>
      <c r="G7" s="354"/>
      <c r="H7" s="353">
        <f>SUMIF(59:59,YEAR(G7)&amp;"-"&amp;MONTH(G7),60:60)</f>
        <v>0</v>
      </c>
      <c r="I7" s="354"/>
      <c r="J7" s="353">
        <f>SUMIF(59:59,YEAR(I7)&amp;"-"&amp;MONTH(I7),60:60)</f>
        <v>0</v>
      </c>
      <c r="K7" s="38"/>
      <c r="L7" s="2483"/>
      <c r="M7" s="2435"/>
      <c r="N7" s="2435"/>
      <c r="O7" s="2435"/>
      <c r="P7" s="3465"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799"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3"/>
      <c r="M8" s="2435"/>
      <c r="N8" s="2435"/>
      <c r="O8" s="2435"/>
      <c r="P8" s="3465" t="s">
        <v>1683</v>
      </c>
      <c r="Q8" s="3413"/>
      <c r="R8" s="662" t="s">
        <v>14</v>
      </c>
      <c r="S8" s="663">
        <f t="shared" si="0"/>
        <v>100</v>
      </c>
      <c r="T8" s="662" t="s">
        <v>14</v>
      </c>
      <c r="U8" s="663">
        <f t="shared" si="1"/>
        <v>100</v>
      </c>
      <c r="V8" s="662" t="s">
        <v>14</v>
      </c>
      <c r="W8" s="663">
        <f t="shared" si="2"/>
        <v>100</v>
      </c>
      <c r="X8" s="664"/>
      <c r="Y8" s="3412" t="s">
        <v>1683</v>
      </c>
      <c r="Z8" s="3413"/>
      <c r="AA8" s="50">
        <f t="shared" ref="AA8:AA47" si="3">D8/F8</f>
        <v>1</v>
      </c>
      <c r="AB8" s="50">
        <f t="shared" ref="AB8:AB47" si="4">D8/H8</f>
        <v>1</v>
      </c>
      <c r="AC8" s="799">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3"/>
      <c r="M9" s="2435"/>
      <c r="N9" s="2435"/>
      <c r="O9" s="2435"/>
      <c r="P9" s="3426"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799">
        <f t="shared" si="5"/>
        <v>1</v>
      </c>
    </row>
    <row r="10" spans="1:29" s="364" customFormat="1" ht="27">
      <c r="A10" s="361"/>
      <c r="B10" s="362" t="s">
        <v>1688</v>
      </c>
      <c r="C10" s="3127"/>
      <c r="D10" s="117">
        <v>100</v>
      </c>
      <c r="E10" s="3127"/>
      <c r="F10" s="117">
        <f>SUMIF(66:66,E10,67:67)-SUMIF(66:66,C10,67:67)+100</f>
        <v>100</v>
      </c>
      <c r="G10" s="3128"/>
      <c r="H10" s="117">
        <f>SUMIF(66:66,G10,67:67)-SUMIF(66:66,C10,67:67)+100</f>
        <v>100</v>
      </c>
      <c r="I10" s="3127"/>
      <c r="J10" s="117">
        <f>SUMIF(66:66,I10,67:67)-SUMIF(66:66,C10,67:67)+100</f>
        <v>100</v>
      </c>
      <c r="K10" s="38"/>
      <c r="L10" s="2484"/>
      <c r="M10" s="2485"/>
      <c r="N10" s="2485"/>
      <c r="O10" s="2485"/>
      <c r="P10" s="3426"/>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426"/>
      <c r="Q11" s="528" t="str">
        <f t="shared" si="6"/>
        <v>容积率</v>
      </c>
      <c r="R11" s="662" t="s">
        <v>14</v>
      </c>
      <c r="S11" s="663">
        <f t="shared" si="0"/>
        <v>100</v>
      </c>
      <c r="T11" s="662" t="s">
        <v>14</v>
      </c>
      <c r="U11" s="663">
        <f t="shared" si="1"/>
        <v>100</v>
      </c>
      <c r="V11" s="662" t="s">
        <v>14</v>
      </c>
      <c r="W11" s="663">
        <f t="shared" si="2"/>
        <v>100</v>
      </c>
      <c r="X11" s="664"/>
      <c r="Y11" s="3337"/>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3"/>
      <c r="M12" s="2435"/>
      <c r="N12" s="2435"/>
      <c r="O12" s="2435"/>
      <c r="P12" s="3426"/>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7"/>
      <c r="M13" s="2482"/>
      <c r="N13" s="2482"/>
      <c r="O13" s="2482"/>
      <c r="P13" s="3426"/>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799">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7"/>
      <c r="M14" s="2482"/>
      <c r="N14" s="2482"/>
      <c r="O14" s="2482"/>
      <c r="P14" s="3426"/>
      <c r="Q14" s="528">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799">
        <f t="shared" si="5"/>
        <v>1</v>
      </c>
    </row>
    <row r="15" spans="1:29" ht="42.75">
      <c r="A15" s="377" t="s">
        <v>1690</v>
      </c>
      <c r="B15" s="552" t="s">
        <v>1811</v>
      </c>
      <c r="C15" s="1808" t="str">
        <f>估价对象房地状况!C5</f>
        <v>国锐金嵿、大族广场、亦城财富中心，较好</v>
      </c>
      <c r="D15" s="378">
        <v>100</v>
      </c>
      <c r="E15" s="381"/>
      <c r="F15" s="378">
        <f>SUMIF(77:77,E16,78:78)-SUMIF(77:77,C16,78:78)+100</f>
        <v>100</v>
      </c>
      <c r="G15" s="379"/>
      <c r="H15" s="378">
        <f>SUMIF(77:77,G16,78:78)-SUMIF(77:77,C16,78:78)+100</f>
        <v>100</v>
      </c>
      <c r="I15" s="379"/>
      <c r="J15" s="378">
        <f>SUMIF(77:77,I16,78:78)-SUMIF(77:77,C16,78:78)+100</f>
        <v>100</v>
      </c>
      <c r="K15" s="538"/>
      <c r="L15" s="2487"/>
      <c r="M15" s="2482"/>
      <c r="N15" s="2482"/>
      <c r="O15" s="2482"/>
      <c r="P15" s="3452" t="s">
        <v>1691</v>
      </c>
      <c r="Q15" s="1260" t="str">
        <f t="shared" si="6"/>
        <v>办公集聚程度</v>
      </c>
      <c r="R15" s="665" t="s">
        <v>14</v>
      </c>
      <c r="S15" s="666">
        <f t="shared" si="0"/>
        <v>100</v>
      </c>
      <c r="T15" s="665" t="s">
        <v>14</v>
      </c>
      <c r="U15" s="666">
        <f t="shared" si="1"/>
        <v>100</v>
      </c>
      <c r="V15" s="665" t="s">
        <v>14</v>
      </c>
      <c r="W15" s="666">
        <f t="shared" si="2"/>
        <v>100</v>
      </c>
      <c r="X15" s="1262"/>
      <c r="Y15" s="3445"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7"/>
      <c r="M16" s="2482"/>
      <c r="N16" s="2482"/>
      <c r="O16" s="2482"/>
      <c r="P16" s="3453"/>
      <c r="Q16" s="1260"/>
      <c r="R16" s="665"/>
      <c r="S16" s="666"/>
      <c r="T16" s="665"/>
      <c r="U16" s="666"/>
      <c r="V16" s="665"/>
      <c r="W16" s="666"/>
      <c r="X16" s="1262"/>
      <c r="Y16" s="3446"/>
      <c r="Z16" s="1261"/>
      <c r="AA16" s="1261">
        <v>1</v>
      </c>
      <c r="AB16" s="1261">
        <v>1</v>
      </c>
      <c r="AC16" s="1809">
        <v>1</v>
      </c>
    </row>
    <row r="17" spans="1:29" ht="15">
      <c r="A17" s="365"/>
      <c r="B17" s="554" t="s">
        <v>1259</v>
      </c>
      <c r="C17" s="1810" t="str">
        <f>估价对象房地状况!C6</f>
        <v>较好</v>
      </c>
      <c r="D17" s="387">
        <v>100</v>
      </c>
      <c r="E17" s="391"/>
      <c r="F17" s="387">
        <f>SUMIF(79:79,E18,80:80)-SUMIF(79:79,C18,80:80)+100</f>
        <v>100</v>
      </c>
      <c r="G17" s="389"/>
      <c r="H17" s="392">
        <f>SUMIF(79:79,G18,80:80)-SUMIF(79:79,C18,80:80)+100</f>
        <v>100</v>
      </c>
      <c r="I17" s="389"/>
      <c r="J17" s="392">
        <f>SUMIF(79:79,I18,80:80)-SUMIF(79:79,C18,80:80)+100</f>
        <v>100</v>
      </c>
      <c r="K17" s="538"/>
      <c r="L17" s="2487"/>
      <c r="M17" s="2482"/>
      <c r="N17" s="2482"/>
      <c r="O17" s="2482"/>
      <c r="P17" s="3453"/>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7"/>
      <c r="M18" s="2482"/>
      <c r="N18" s="2482"/>
      <c r="O18" s="2482"/>
      <c r="P18" s="3453"/>
      <c r="Q18" s="1260"/>
      <c r="R18" s="665"/>
      <c r="S18" s="666"/>
      <c r="T18" s="665"/>
      <c r="U18" s="666"/>
      <c r="V18" s="665"/>
      <c r="W18" s="666"/>
      <c r="X18" s="1262"/>
      <c r="Y18" s="3446"/>
      <c r="Z18" s="1261"/>
      <c r="AA18" s="1261">
        <v>1</v>
      </c>
      <c r="AB18" s="1261">
        <v>1</v>
      </c>
      <c r="AC18" s="1809">
        <v>1</v>
      </c>
    </row>
    <row r="19" spans="1:29" ht="15">
      <c r="A19" s="365"/>
      <c r="B19" s="554" t="s">
        <v>1812</v>
      </c>
      <c r="C19" s="1810" t="str">
        <f>估价对象房地状况!C7</f>
        <v>较好</v>
      </c>
      <c r="D19" s="392">
        <v>100</v>
      </c>
      <c r="E19" s="396"/>
      <c r="F19" s="392">
        <f>SUMIF(81:81,E20,82:82)-SUMIF(81:81,C20,82:82)+100</f>
        <v>100</v>
      </c>
      <c r="G19" s="394"/>
      <c r="H19" s="387">
        <f>SUMIF(81:81,G20,82:82)-SUMIF(81:81,C20,82:82)+100</f>
        <v>100</v>
      </c>
      <c r="I19" s="394"/>
      <c r="J19" s="387">
        <f>SUMIF(81:81,I20,82:82)-SUMIF(81:81,C20,82:82)+100</f>
        <v>100</v>
      </c>
      <c r="K19" s="538"/>
      <c r="L19" s="2487"/>
      <c r="M19" s="2482"/>
      <c r="N19" s="2482"/>
      <c r="O19" s="2482"/>
      <c r="P19" s="3453"/>
      <c r="Q19" s="1260" t="str">
        <f>B19</f>
        <v>公共配套设施</v>
      </c>
      <c r="R19" s="665" t="s">
        <v>14</v>
      </c>
      <c r="S19" s="666">
        <f>F19</f>
        <v>100</v>
      </c>
      <c r="T19" s="665" t="s">
        <v>14</v>
      </c>
      <c r="U19" s="666">
        <f>H19</f>
        <v>100</v>
      </c>
      <c r="V19" s="665" t="s">
        <v>14</v>
      </c>
      <c r="W19" s="666">
        <f>J19</f>
        <v>100</v>
      </c>
      <c r="X19" s="1262"/>
      <c r="Y19" s="3446"/>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7"/>
      <c r="M20" s="2482"/>
      <c r="N20" s="2482"/>
      <c r="O20" s="2482"/>
      <c r="P20" s="3453"/>
      <c r="Q20" s="1260"/>
      <c r="R20" s="665"/>
      <c r="S20" s="666"/>
      <c r="T20" s="665"/>
      <c r="U20" s="666"/>
      <c r="V20" s="665"/>
      <c r="W20" s="666"/>
      <c r="X20" s="1262"/>
      <c r="Y20" s="3446"/>
      <c r="Z20" s="1261"/>
      <c r="AA20" s="1261">
        <v>1</v>
      </c>
      <c r="AB20" s="1261">
        <v>1</v>
      </c>
      <c r="AC20" s="1809">
        <v>1</v>
      </c>
    </row>
    <row r="21" spans="1:29" ht="15">
      <c r="A21" s="365"/>
      <c r="B21" s="555" t="s">
        <v>1813</v>
      </c>
      <c r="C21" s="1810"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7"/>
      <c r="M21" s="2482"/>
      <c r="N21" s="2482"/>
      <c r="O21" s="2482"/>
      <c r="P21" s="3453"/>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87"/>
      <c r="M22" s="2482"/>
      <c r="N22" s="2482"/>
      <c r="O22" s="2482"/>
      <c r="P22" s="3453"/>
      <c r="Q22" s="1260"/>
      <c r="R22" s="665"/>
      <c r="S22" s="666"/>
      <c r="T22" s="665"/>
      <c r="U22" s="666"/>
      <c r="V22" s="665"/>
      <c r="W22" s="666"/>
      <c r="X22" s="1262"/>
      <c r="Y22" s="3446"/>
      <c r="Z22" s="1261"/>
      <c r="AA22" s="1261">
        <v>1</v>
      </c>
      <c r="AB22" s="1261">
        <v>1</v>
      </c>
      <c r="AC22" s="1809">
        <v>1</v>
      </c>
    </row>
    <row r="23" spans="1:29" ht="28.5">
      <c r="A23" s="365"/>
      <c r="B23" s="554" t="s">
        <v>1814</v>
      </c>
      <c r="C23" s="1810" t="str">
        <f>估价对象房地状况!C9</f>
        <v>博大公园、亦庄新城滨河公园，一般</v>
      </c>
      <c r="D23" s="387">
        <v>100</v>
      </c>
      <c r="E23" s="391"/>
      <c r="F23" s="387">
        <f>SUMIF(85:85,E24,86:86)-SUMIF(85:85,C24,86:86)+100</f>
        <v>100</v>
      </c>
      <c r="G23" s="389"/>
      <c r="H23" s="387">
        <f>SUMIF(85:85,G24,86:86)-SUMIF(85:85,C24,86:86)+100</f>
        <v>100</v>
      </c>
      <c r="I23" s="389"/>
      <c r="J23" s="387">
        <f>SUMIF(85:85,I24,86:86)-SUMIF(85:85,C24,86:86)+100</f>
        <v>100</v>
      </c>
      <c r="K23" s="538"/>
      <c r="L23" s="2487"/>
      <c r="M23" s="2482"/>
      <c r="N23" s="2482"/>
      <c r="O23" s="2482"/>
      <c r="P23" s="3453"/>
      <c r="Q23" s="1260" t="str">
        <f>B23</f>
        <v>环境质量</v>
      </c>
      <c r="R23" s="665" t="s">
        <v>14</v>
      </c>
      <c r="S23" s="666">
        <f>F23</f>
        <v>100</v>
      </c>
      <c r="T23" s="665" t="s">
        <v>14</v>
      </c>
      <c r="U23" s="666">
        <f>H23</f>
        <v>100</v>
      </c>
      <c r="V23" s="665" t="s">
        <v>14</v>
      </c>
      <c r="W23" s="666">
        <f>J23</f>
        <v>100</v>
      </c>
      <c r="X23" s="1262"/>
      <c r="Y23" s="3446"/>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7"/>
      <c r="M24" s="2482"/>
      <c r="N24" s="2482"/>
      <c r="O24" s="2482"/>
      <c r="P24" s="3453"/>
      <c r="Q24" s="1260"/>
      <c r="R24" s="665"/>
      <c r="S24" s="666"/>
      <c r="T24" s="665"/>
      <c r="U24" s="666"/>
      <c r="V24" s="665"/>
      <c r="W24" s="666"/>
      <c r="X24" s="1262"/>
      <c r="Y24" s="3446"/>
      <c r="Z24" s="1261"/>
      <c r="AA24" s="1261">
        <v>1</v>
      </c>
      <c r="AB24" s="1261">
        <v>1</v>
      </c>
      <c r="AC24" s="1809">
        <v>1</v>
      </c>
    </row>
    <row r="25" spans="1:29" ht="27">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7"/>
      <c r="M25" s="2482"/>
      <c r="N25" s="2482"/>
      <c r="O25" s="2482"/>
      <c r="P25" s="3453"/>
      <c r="Q25" s="1260" t="str">
        <f>B25</f>
        <v>毗邻道路的类型与等级</v>
      </c>
      <c r="R25" s="665" t="s">
        <v>14</v>
      </c>
      <c r="S25" s="666">
        <f>F25</f>
        <v>100</v>
      </c>
      <c r="T25" s="665" t="s">
        <v>14</v>
      </c>
      <c r="U25" s="666">
        <f>H25</f>
        <v>100</v>
      </c>
      <c r="V25" s="665" t="s">
        <v>14</v>
      </c>
      <c r="W25" s="666">
        <f>J25</f>
        <v>100</v>
      </c>
      <c r="X25" s="1262"/>
      <c r="Y25" s="3446"/>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7"/>
      <c r="M26" s="2482"/>
      <c r="N26" s="2482"/>
      <c r="O26" s="2482"/>
      <c r="P26" s="3453"/>
      <c r="Q26" s="1260"/>
      <c r="R26" s="665"/>
      <c r="S26" s="666"/>
      <c r="T26" s="665"/>
      <c r="U26" s="666"/>
      <c r="V26" s="665"/>
      <c r="W26" s="666"/>
      <c r="X26" s="1262"/>
      <c r="Y26" s="3446"/>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7"/>
      <c r="M27" s="2482"/>
      <c r="N27" s="2482"/>
      <c r="O27" s="2482"/>
      <c r="P27" s="3453"/>
      <c r="Q27" s="1260" t="str">
        <f t="shared" ref="Q27:Q47" si="11">B27</f>
        <v>楼层</v>
      </c>
      <c r="R27" s="665" t="s">
        <v>14</v>
      </c>
      <c r="S27" s="666">
        <f>F27</f>
        <v>100</v>
      </c>
      <c r="T27" s="665" t="s">
        <v>14</v>
      </c>
      <c r="U27" s="666">
        <f>H27</f>
        <v>100</v>
      </c>
      <c r="V27" s="665" t="s">
        <v>14</v>
      </c>
      <c r="W27" s="666">
        <f>J27</f>
        <v>100</v>
      </c>
      <c r="X27" s="1262"/>
      <c r="Y27" s="3446"/>
      <c r="Z27" s="1261" t="str">
        <f>Q27</f>
        <v>楼层</v>
      </c>
      <c r="AA27" s="1261">
        <f t="shared" si="3"/>
        <v>1</v>
      </c>
      <c r="AB27" s="1261">
        <f t="shared" si="4"/>
        <v>1</v>
      </c>
      <c r="AC27" s="1809">
        <f t="shared" si="5"/>
        <v>1</v>
      </c>
    </row>
    <row r="28" spans="1:29" s="101"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3"/>
      <c r="M28" s="2435"/>
      <c r="N28" s="2435"/>
      <c r="O28" s="2435"/>
      <c r="P28" s="3453"/>
      <c r="Q28" s="528" t="str">
        <f t="shared" si="11"/>
        <v>朝向</v>
      </c>
      <c r="R28" s="662" t="s">
        <v>14</v>
      </c>
      <c r="S28" s="663">
        <f>F28</f>
        <v>100</v>
      </c>
      <c r="T28" s="662" t="s">
        <v>14</v>
      </c>
      <c r="U28" s="663">
        <f>H28</f>
        <v>100</v>
      </c>
      <c r="V28" s="662" t="s">
        <v>14</v>
      </c>
      <c r="W28" s="663">
        <f>J28</f>
        <v>100</v>
      </c>
      <c r="X28" s="664"/>
      <c r="Y28" s="3446"/>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7"/>
      <c r="M29" s="2482"/>
      <c r="N29" s="2482"/>
      <c r="O29" s="2482"/>
      <c r="P29" s="3453"/>
      <c r="Q29" s="1260">
        <f t="shared" si="11"/>
        <v>111</v>
      </c>
      <c r="R29" s="665" t="s">
        <v>14</v>
      </c>
      <c r="S29" s="666">
        <f t="shared" ref="S29:S47" si="12">F29</f>
        <v>100</v>
      </c>
      <c r="T29" s="665" t="s">
        <v>14</v>
      </c>
      <c r="U29" s="666">
        <f t="shared" ref="U29:U47" si="13">H29</f>
        <v>100</v>
      </c>
      <c r="V29" s="665" t="s">
        <v>14</v>
      </c>
      <c r="W29" s="666">
        <f t="shared" ref="W29:W47" si="14">J29</f>
        <v>100</v>
      </c>
      <c r="X29" s="1262"/>
      <c r="Y29" s="3446"/>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7"/>
      <c r="M30" s="2482"/>
      <c r="N30" s="2482"/>
      <c r="O30" s="2482"/>
      <c r="P30" s="3453"/>
      <c r="Q30" s="1260">
        <f t="shared" si="11"/>
        <v>111</v>
      </c>
      <c r="R30" s="665" t="s">
        <v>14</v>
      </c>
      <c r="S30" s="666">
        <f t="shared" si="12"/>
        <v>100</v>
      </c>
      <c r="T30" s="665" t="s">
        <v>14</v>
      </c>
      <c r="U30" s="666">
        <f t="shared" si="13"/>
        <v>100</v>
      </c>
      <c r="V30" s="665" t="s">
        <v>14</v>
      </c>
      <c r="W30" s="666">
        <f t="shared" si="14"/>
        <v>100</v>
      </c>
      <c r="X30" s="1262"/>
      <c r="Y30" s="3446"/>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7"/>
      <c r="M31" s="2482"/>
      <c r="N31" s="2482"/>
      <c r="O31" s="2482"/>
      <c r="P31" s="3453"/>
      <c r="Q31" s="1260">
        <f t="shared" si="11"/>
        <v>111</v>
      </c>
      <c r="R31" s="665" t="s">
        <v>14</v>
      </c>
      <c r="S31" s="666">
        <f t="shared" si="12"/>
        <v>100</v>
      </c>
      <c r="T31" s="665" t="s">
        <v>14</v>
      </c>
      <c r="U31" s="666">
        <f t="shared" si="13"/>
        <v>100</v>
      </c>
      <c r="V31" s="665" t="s">
        <v>14</v>
      </c>
      <c r="W31" s="666">
        <f t="shared" si="14"/>
        <v>100</v>
      </c>
      <c r="X31" s="1262"/>
      <c r="Y31" s="3446"/>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7"/>
      <c r="M32" s="2482"/>
      <c r="N32" s="2482"/>
      <c r="O32" s="2482"/>
      <c r="P32" s="3453"/>
      <c r="Q32" s="1260">
        <f t="shared" si="11"/>
        <v>111</v>
      </c>
      <c r="R32" s="665" t="s">
        <v>14</v>
      </c>
      <c r="S32" s="666">
        <f t="shared" si="12"/>
        <v>100</v>
      </c>
      <c r="T32" s="665" t="s">
        <v>14</v>
      </c>
      <c r="U32" s="666">
        <f t="shared" si="13"/>
        <v>100</v>
      </c>
      <c r="V32" s="665" t="s">
        <v>14</v>
      </c>
      <c r="W32" s="666">
        <f t="shared" si="14"/>
        <v>100</v>
      </c>
      <c r="X32" s="1262"/>
      <c r="Y32" s="3446"/>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7"/>
      <c r="M33" s="2482"/>
      <c r="N33" s="2482"/>
      <c r="O33" s="2482"/>
      <c r="P33" s="3447" t="s">
        <v>1696</v>
      </c>
      <c r="Q33" s="1260" t="str">
        <f t="shared" si="11"/>
        <v>建筑类型</v>
      </c>
      <c r="R33" s="665" t="s">
        <v>14</v>
      </c>
      <c r="S33" s="666">
        <f t="shared" si="12"/>
        <v>100</v>
      </c>
      <c r="T33" s="665" t="s">
        <v>14</v>
      </c>
      <c r="U33" s="666">
        <f t="shared" si="13"/>
        <v>100</v>
      </c>
      <c r="V33" s="665" t="s">
        <v>14</v>
      </c>
      <c r="W33" s="666">
        <f t="shared" si="14"/>
        <v>100</v>
      </c>
      <c r="X33" s="1262"/>
      <c r="Y33" s="3450"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6"/>
      <c r="M34" s="2488"/>
      <c r="N34" s="2488"/>
      <c r="O34" s="2488"/>
      <c r="P34" s="3448"/>
      <c r="Q34" s="529" t="str">
        <f t="shared" si="11"/>
        <v>项目建筑规模</v>
      </c>
      <c r="R34" s="667" t="s">
        <v>14</v>
      </c>
      <c r="S34" s="668" t="e">
        <f t="shared" si="12"/>
        <v>#N/A</v>
      </c>
      <c r="T34" s="667" t="s">
        <v>14</v>
      </c>
      <c r="U34" s="668" t="e">
        <f t="shared" si="13"/>
        <v>#N/A</v>
      </c>
      <c r="V34" s="667" t="s">
        <v>14</v>
      </c>
      <c r="W34" s="668" t="e">
        <f t="shared" si="14"/>
        <v>#N/A</v>
      </c>
      <c r="X34" s="669"/>
      <c r="Y34" s="3450"/>
      <c r="Z34" s="670"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7"/>
      <c r="M35" s="2482"/>
      <c r="N35" s="2482"/>
      <c r="O35" s="2482"/>
      <c r="P35" s="3448"/>
      <c r="Q35" s="1260" t="str">
        <f t="shared" si="11"/>
        <v>建筑结构</v>
      </c>
      <c r="R35" s="665" t="s">
        <v>14</v>
      </c>
      <c r="S35" s="666">
        <f t="shared" si="12"/>
        <v>100</v>
      </c>
      <c r="T35" s="665" t="s">
        <v>14</v>
      </c>
      <c r="U35" s="666">
        <f t="shared" si="13"/>
        <v>100</v>
      </c>
      <c r="V35" s="665" t="s">
        <v>14</v>
      </c>
      <c r="W35" s="666">
        <f t="shared" si="14"/>
        <v>100</v>
      </c>
      <c r="X35" s="1262"/>
      <c r="Y35" s="3450"/>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7"/>
      <c r="M36" s="2482"/>
      <c r="N36" s="2482"/>
      <c r="O36" s="2482"/>
      <c r="P36" s="3448"/>
      <c r="Q36" s="1260" t="str">
        <f t="shared" si="11"/>
        <v>公共部分装修</v>
      </c>
      <c r="R36" s="665" t="s">
        <v>14</v>
      </c>
      <c r="S36" s="666">
        <f t="shared" si="12"/>
        <v>100</v>
      </c>
      <c r="T36" s="665" t="s">
        <v>14</v>
      </c>
      <c r="U36" s="666">
        <f t="shared" si="13"/>
        <v>100</v>
      </c>
      <c r="V36" s="665" t="s">
        <v>14</v>
      </c>
      <c r="W36" s="666">
        <f t="shared" si="14"/>
        <v>100</v>
      </c>
      <c r="X36" s="1262"/>
      <c r="Y36" s="3450"/>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7"/>
      <c r="M37" s="2482"/>
      <c r="N37" s="2482"/>
      <c r="O37" s="2482"/>
      <c r="P37" s="3448"/>
      <c r="Q37" s="1260" t="str">
        <f t="shared" si="11"/>
        <v>成新度</v>
      </c>
      <c r="R37" s="665" t="s">
        <v>14</v>
      </c>
      <c r="S37" s="666" t="e">
        <f t="shared" si="12"/>
        <v>#N/A</v>
      </c>
      <c r="T37" s="665" t="s">
        <v>14</v>
      </c>
      <c r="U37" s="666" t="e">
        <f t="shared" si="13"/>
        <v>#N/A</v>
      </c>
      <c r="V37" s="665" t="s">
        <v>14</v>
      </c>
      <c r="W37" s="666" t="e">
        <f t="shared" si="14"/>
        <v>#N/A</v>
      </c>
      <c r="X37" s="1262"/>
      <c r="Y37" s="3450"/>
      <c r="Z37" s="1261" t="str">
        <f t="shared" si="15"/>
        <v>成新度</v>
      </c>
      <c r="AA37" s="1261" t="e">
        <f t="shared" si="3"/>
        <v>#N/A</v>
      </c>
      <c r="AB37" s="1261" t="e">
        <f t="shared" si="4"/>
        <v>#N/A</v>
      </c>
      <c r="AC37" s="1809"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3"/>
      <c r="M38" s="2435"/>
      <c r="N38" s="2435"/>
      <c r="O38" s="2435"/>
      <c r="P38" s="3448"/>
      <c r="Q38" s="528" t="str">
        <f t="shared" si="11"/>
        <v>写字楼等级</v>
      </c>
      <c r="R38" s="662" t="s">
        <v>14</v>
      </c>
      <c r="S38" s="663">
        <f t="shared" si="12"/>
        <v>100</v>
      </c>
      <c r="T38" s="662" t="s">
        <v>14</v>
      </c>
      <c r="U38" s="663">
        <f t="shared" si="13"/>
        <v>100</v>
      </c>
      <c r="V38" s="662" t="s">
        <v>14</v>
      </c>
      <c r="W38" s="663">
        <f t="shared" si="14"/>
        <v>100</v>
      </c>
      <c r="X38" s="664"/>
      <c r="Y38" s="3450"/>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7"/>
      <c r="M39" s="2482"/>
      <c r="N39" s="2482"/>
      <c r="O39" s="2482"/>
      <c r="P39" s="3448" t="s">
        <v>1696</v>
      </c>
      <c r="Q39" s="1260" t="str">
        <f t="shared" si="11"/>
        <v>物业管理</v>
      </c>
      <c r="R39" s="665" t="s">
        <v>14</v>
      </c>
      <c r="S39" s="666">
        <f t="shared" si="12"/>
        <v>100</v>
      </c>
      <c r="T39" s="665" t="s">
        <v>14</v>
      </c>
      <c r="U39" s="666">
        <f t="shared" si="13"/>
        <v>100</v>
      </c>
      <c r="V39" s="665" t="s">
        <v>14</v>
      </c>
      <c r="W39" s="666">
        <f t="shared" si="14"/>
        <v>100</v>
      </c>
      <c r="X39" s="1262"/>
      <c r="Y39" s="3450"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7"/>
      <c r="M40" s="2482"/>
      <c r="N40" s="2482"/>
      <c r="O40" s="2482"/>
      <c r="P40" s="3448"/>
      <c r="Q40" s="1260" t="str">
        <f t="shared" si="11"/>
        <v>市政基础设施</v>
      </c>
      <c r="R40" s="665" t="s">
        <v>14</v>
      </c>
      <c r="S40" s="666">
        <f t="shared" si="12"/>
        <v>100</v>
      </c>
      <c r="T40" s="665" t="s">
        <v>14</v>
      </c>
      <c r="U40" s="666">
        <f t="shared" si="13"/>
        <v>100</v>
      </c>
      <c r="V40" s="665" t="s">
        <v>14</v>
      </c>
      <c r="W40" s="666">
        <f t="shared" si="14"/>
        <v>100</v>
      </c>
      <c r="X40" s="1262"/>
      <c r="Y40" s="3450"/>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7"/>
      <c r="M41" s="2482"/>
      <c r="N41" s="2482"/>
      <c r="O41" s="2482"/>
      <c r="P41" s="3448"/>
      <c r="Q41" s="1260" t="str">
        <f t="shared" si="11"/>
        <v>层高</v>
      </c>
      <c r="R41" s="665" t="s">
        <v>14</v>
      </c>
      <c r="S41" s="666">
        <f t="shared" si="12"/>
        <v>100</v>
      </c>
      <c r="T41" s="665" t="s">
        <v>14</v>
      </c>
      <c r="U41" s="666">
        <f t="shared" si="13"/>
        <v>100</v>
      </c>
      <c r="V41" s="665" t="s">
        <v>14</v>
      </c>
      <c r="W41" s="666">
        <f t="shared" si="14"/>
        <v>100</v>
      </c>
      <c r="X41" s="1262"/>
      <c r="Y41" s="3450"/>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48"/>
      <c r="Q42" s="529" t="str">
        <f t="shared" si="11"/>
        <v>单套建筑面积</v>
      </c>
      <c r="R42" s="667" t="s">
        <v>14</v>
      </c>
      <c r="S42" s="668">
        <f t="shared" si="12"/>
        <v>100</v>
      </c>
      <c r="T42" s="667" t="s">
        <v>14</v>
      </c>
      <c r="U42" s="668">
        <f t="shared" si="13"/>
        <v>100</v>
      </c>
      <c r="V42" s="667" t="s">
        <v>14</v>
      </c>
      <c r="W42" s="668">
        <f t="shared" si="14"/>
        <v>100</v>
      </c>
      <c r="X42" s="669"/>
      <c r="Y42" s="3450"/>
      <c r="Z42" s="670"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7"/>
      <c r="M43" s="2482"/>
      <c r="N43" s="2482"/>
      <c r="O43" s="2482"/>
      <c r="P43" s="3448"/>
      <c r="Q43" s="1260" t="str">
        <f t="shared" si="11"/>
        <v>内部装修</v>
      </c>
      <c r="R43" s="665" t="s">
        <v>14</v>
      </c>
      <c r="S43" s="666">
        <f t="shared" si="12"/>
        <v>100</v>
      </c>
      <c r="T43" s="665" t="s">
        <v>14</v>
      </c>
      <c r="U43" s="666">
        <f t="shared" si="13"/>
        <v>100</v>
      </c>
      <c r="V43" s="665" t="s">
        <v>14</v>
      </c>
      <c r="W43" s="666">
        <f t="shared" si="14"/>
        <v>100</v>
      </c>
      <c r="X43" s="1262"/>
      <c r="Y43" s="3450"/>
      <c r="Z43" s="1261" t="str">
        <f t="shared" si="15"/>
        <v>内部装修</v>
      </c>
      <c r="AA43" s="1261">
        <f t="shared" si="3"/>
        <v>1</v>
      </c>
      <c r="AB43" s="1261">
        <f t="shared" si="4"/>
        <v>1</v>
      </c>
      <c r="AC43" s="1809">
        <f t="shared" si="5"/>
        <v>1</v>
      </c>
    </row>
    <row r="44" spans="1:29" ht="15">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7"/>
      <c r="M44" s="2482"/>
      <c r="N44" s="2482"/>
      <c r="O44" s="2482"/>
      <c r="P44" s="3448"/>
      <c r="Q44" s="1260" t="str">
        <f t="shared" si="11"/>
        <v>内部装修维护情况</v>
      </c>
      <c r="R44" s="665" t="s">
        <v>14</v>
      </c>
      <c r="S44" s="666">
        <f t="shared" si="12"/>
        <v>100</v>
      </c>
      <c r="T44" s="665" t="s">
        <v>14</v>
      </c>
      <c r="U44" s="666">
        <f t="shared" si="13"/>
        <v>100</v>
      </c>
      <c r="V44" s="665" t="s">
        <v>14</v>
      </c>
      <c r="W44" s="666">
        <f t="shared" si="14"/>
        <v>100</v>
      </c>
      <c r="X44" s="1262"/>
      <c r="Y44" s="3450"/>
      <c r="Z44" s="1261" t="str">
        <f t="shared" si="15"/>
        <v>内部装修维护情况</v>
      </c>
      <c r="AA44" s="1261">
        <f t="shared" si="3"/>
        <v>1</v>
      </c>
      <c r="AB44" s="1261">
        <f t="shared" si="4"/>
        <v>1</v>
      </c>
      <c r="AC44" s="1809">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448"/>
      <c r="Q45" s="528">
        <f t="shared" si="11"/>
        <v>111</v>
      </c>
      <c r="R45" s="662" t="s">
        <v>14</v>
      </c>
      <c r="S45" s="663">
        <f t="shared" si="12"/>
        <v>100</v>
      </c>
      <c r="T45" s="662" t="s">
        <v>14</v>
      </c>
      <c r="U45" s="663">
        <f t="shared" si="13"/>
        <v>100</v>
      </c>
      <c r="V45" s="662" t="s">
        <v>14</v>
      </c>
      <c r="W45" s="663">
        <f t="shared" si="14"/>
        <v>100</v>
      </c>
      <c r="X45" s="664"/>
      <c r="Y45" s="3450"/>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48"/>
      <c r="Q46" s="1260">
        <f t="shared" si="11"/>
        <v>111</v>
      </c>
      <c r="R46" s="665" t="s">
        <v>14</v>
      </c>
      <c r="S46" s="666">
        <f t="shared" si="12"/>
        <v>100</v>
      </c>
      <c r="T46" s="665" t="s">
        <v>14</v>
      </c>
      <c r="U46" s="666">
        <f t="shared" si="13"/>
        <v>100</v>
      </c>
      <c r="V46" s="665" t="s">
        <v>14</v>
      </c>
      <c r="W46" s="666">
        <f t="shared" si="14"/>
        <v>100</v>
      </c>
      <c r="X46" s="1262"/>
      <c r="Y46" s="3450"/>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49"/>
      <c r="Q47" s="1260">
        <f t="shared" si="11"/>
        <v>111</v>
      </c>
      <c r="R47" s="665" t="s">
        <v>14</v>
      </c>
      <c r="S47" s="666">
        <f t="shared" si="12"/>
        <v>100</v>
      </c>
      <c r="T47" s="665" t="s">
        <v>14</v>
      </c>
      <c r="U47" s="666">
        <f t="shared" si="13"/>
        <v>100</v>
      </c>
      <c r="V47" s="665" t="s">
        <v>14</v>
      </c>
      <c r="W47" s="666">
        <f t="shared" si="14"/>
        <v>100</v>
      </c>
      <c r="X47" s="1262"/>
      <c r="Y47" s="3451"/>
      <c r="Z47" s="1261">
        <f t="shared" si="15"/>
        <v>111</v>
      </c>
      <c r="AA47" s="1261">
        <f t="shared" si="3"/>
        <v>1</v>
      </c>
      <c r="AB47" s="1261">
        <f t="shared" si="4"/>
        <v>1</v>
      </c>
      <c r="AC47" s="1809">
        <f t="shared" si="5"/>
        <v>1</v>
      </c>
    </row>
    <row r="48" spans="1:29" ht="15">
      <c r="A48" s="414" t="s">
        <v>1708</v>
      </c>
      <c r="B48" s="415"/>
      <c r="C48" s="1078" t="s">
        <v>0</v>
      </c>
      <c r="D48" s="416"/>
      <c r="E48" s="417"/>
      <c r="F48" s="418"/>
      <c r="G48" s="419"/>
      <c r="H48" s="420"/>
      <c r="I48" s="417"/>
      <c r="J48" s="420"/>
      <c r="K48" s="672"/>
      <c r="L48" s="2489"/>
      <c r="M48" s="2482"/>
      <c r="N48" s="2482"/>
      <c r="O48" s="2482"/>
      <c r="P48" s="3426" t="str">
        <f>A48</f>
        <v>成交单价（元/平方米）</v>
      </c>
      <c r="Q48" s="3444"/>
      <c r="R48" s="3439">
        <f>E48</f>
        <v>0</v>
      </c>
      <c r="S48" s="3439"/>
      <c r="T48" s="3439">
        <f>G48</f>
        <v>0</v>
      </c>
      <c r="U48" s="3439"/>
      <c r="V48" s="3439">
        <f>I48</f>
        <v>0</v>
      </c>
      <c r="W48" s="3439"/>
      <c r="X48" s="383"/>
      <c r="Y48" s="671"/>
      <c r="Z48" s="383"/>
      <c r="AA48" s="383"/>
      <c r="AB48" s="383"/>
      <c r="AC48" s="553"/>
    </row>
    <row r="49" spans="1:29" ht="15.75" thickBot="1">
      <c r="A49" s="421" t="s">
        <v>1793</v>
      </c>
      <c r="B49" s="422"/>
      <c r="C49" s="1079" t="e">
        <f>R50</f>
        <v>#DIV/0!</v>
      </c>
      <c r="D49" s="2138" t="s">
        <v>2138</v>
      </c>
      <c r="E49" s="1080" t="e">
        <f>R49</f>
        <v>#DIV/0!</v>
      </c>
      <c r="F49" s="2139"/>
      <c r="G49" s="1079" t="e">
        <f>T49</f>
        <v>#DIV/0!</v>
      </c>
      <c r="H49" s="2139"/>
      <c r="I49" s="1080" t="e">
        <f>V49</f>
        <v>#DIV/0!</v>
      </c>
      <c r="J49" s="2139"/>
      <c r="K49" s="2141">
        <f>F49+H49+J49</f>
        <v>0</v>
      </c>
      <c r="L49" s="2489"/>
      <c r="M49" s="2482"/>
      <c r="N49" s="2482"/>
      <c r="O49" s="2482"/>
      <c r="P49" s="3426" t="str">
        <f>A49</f>
        <v>比较价值（元/平方米）</v>
      </c>
      <c r="Q49" s="3444"/>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383"/>
      <c r="Y49" s="383"/>
      <c r="Z49" s="383"/>
      <c r="AA49" s="383"/>
      <c r="AB49" s="383"/>
      <c r="AC49" s="553"/>
    </row>
    <row r="50" spans="1:29" ht="15.75" thickBot="1">
      <c r="A50" s="425" t="s">
        <v>1794</v>
      </c>
      <c r="B50" s="426"/>
      <c r="C50" s="349" t="e">
        <f>R50</f>
        <v>#DIV/0!</v>
      </c>
      <c r="D50" s="349"/>
      <c r="E50" s="349"/>
      <c r="F50" s="349"/>
      <c r="G50" s="349"/>
      <c r="H50" s="349"/>
      <c r="I50" s="349"/>
      <c r="J50" s="427"/>
      <c r="K50" s="673"/>
      <c r="L50" s="2489"/>
      <c r="M50" s="2482"/>
      <c r="N50" s="2482"/>
      <c r="O50" s="2482"/>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5"/>
      <c r="Y50" s="1795"/>
      <c r="Z50" s="1795"/>
      <c r="AA50" s="1795"/>
      <c r="AB50" s="1795"/>
      <c r="AC50" s="1796"/>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6" t="s">
        <v>1798</v>
      </c>
      <c r="B58" s="383"/>
      <c r="C58" s="657"/>
      <c r="D58" s="657"/>
      <c r="E58" s="657"/>
      <c r="F58" s="658"/>
      <c r="G58" s="658"/>
      <c r="H58" s="657"/>
      <c r="I58" s="657"/>
      <c r="J58" s="657"/>
      <c r="K58" s="659"/>
      <c r="L58" s="885"/>
      <c r="M58" s="883"/>
      <c r="N58" s="2532"/>
      <c r="O58" s="2532"/>
      <c r="P58" s="2521"/>
      <c r="Q58" s="2503"/>
      <c r="R58" s="2482"/>
      <c r="S58" s="2482"/>
      <c r="T58" s="2482"/>
      <c r="U58" s="2482"/>
      <c r="V58" s="2482"/>
      <c r="W58" s="2482"/>
      <c r="X58" s="2482"/>
      <c r="Y58" s="2482"/>
      <c r="Z58" s="2482"/>
      <c r="AA58" s="2482"/>
      <c r="AB58" s="2482"/>
      <c r="AC58" s="2482"/>
    </row>
    <row r="59" spans="1:29" s="440" customFormat="1" ht="15">
      <c r="A59" s="438" t="s">
        <v>1679</v>
      </c>
      <c r="B59" s="439"/>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2"/>
      <c r="Q59" s="2505"/>
      <c r="R59" s="2505"/>
      <c r="S59" s="2505"/>
      <c r="T59" s="2505"/>
      <c r="U59" s="2505"/>
      <c r="V59" s="2505"/>
      <c r="W59" s="2505"/>
      <c r="X59" s="2505"/>
      <c r="Y59" s="2505"/>
      <c r="Z59" s="2505"/>
      <c r="AA59" s="2505"/>
      <c r="AB59" s="2505"/>
      <c r="AC59" s="2505"/>
    </row>
    <row r="60" spans="1:29" s="101" customFormat="1" ht="15">
      <c r="A60" s="441"/>
      <c r="B60" s="442"/>
      <c r="C60" s="1099">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1" customFormat="1" ht="15.7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1" customFormat="1" ht="15">
      <c r="A62" s="453" t="s">
        <v>1681</v>
      </c>
      <c r="B62" s="442"/>
      <c r="C62" s="454" t="s">
        <v>1776</v>
      </c>
      <c r="D62" s="31"/>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1" customFormat="1" ht="15.75" thickBot="1">
      <c r="A63" s="453"/>
      <c r="B63" s="442"/>
      <c r="C63" s="443">
        <v>100</v>
      </c>
      <c r="D63" s="444"/>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c r="A64" s="377" t="s">
        <v>1719</v>
      </c>
      <c r="B64" s="458" t="s">
        <v>1685</v>
      </c>
      <c r="C64" s="459">
        <f>C9</f>
        <v>0</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5.75"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7.75" thickTop="1">
      <c r="A66" s="365"/>
      <c r="B66" s="467" t="s">
        <v>1688</v>
      </c>
      <c r="C66" s="511"/>
      <c r="D66" s="511"/>
      <c r="E66" s="511"/>
      <c r="F66" s="511"/>
      <c r="G66" s="511"/>
      <c r="H66" s="511"/>
      <c r="I66" s="511"/>
      <c r="J66" s="511"/>
      <c r="K66" s="512"/>
      <c r="L66" s="513"/>
      <c r="M66" s="514"/>
      <c r="N66" s="2516"/>
      <c r="O66" s="2516"/>
      <c r="P66" s="2525"/>
      <c r="Q66" s="2503"/>
      <c r="R66" s="2482"/>
      <c r="S66" s="2482"/>
      <c r="T66" s="2482"/>
      <c r="U66" s="2482"/>
      <c r="V66" s="2482"/>
      <c r="W66" s="2482"/>
      <c r="X66" s="2482"/>
      <c r="Y66" s="2482"/>
      <c r="Z66" s="2482"/>
      <c r="AA66" s="2482"/>
      <c r="AB66" s="2482"/>
      <c r="AC66" s="2482"/>
    </row>
    <row r="67" spans="1:29" ht="15.75" thickBot="1">
      <c r="A67" s="365"/>
      <c r="B67" s="472"/>
      <c r="C67" s="465"/>
      <c r="D67" s="465"/>
      <c r="E67" s="465"/>
      <c r="F67" s="465"/>
      <c r="G67" s="465"/>
      <c r="H67" s="465"/>
      <c r="I67" s="465"/>
      <c r="J67" s="465"/>
      <c r="K67" s="465"/>
      <c r="L67" s="465"/>
      <c r="M67" s="466"/>
      <c r="N67" s="2517"/>
      <c r="O67" s="2517"/>
      <c r="P67" s="2525"/>
      <c r="Q67" s="2503"/>
      <c r="R67" s="2482"/>
      <c r="S67" s="2482"/>
      <c r="T67" s="2482"/>
      <c r="U67" s="2482"/>
      <c r="V67" s="2482"/>
      <c r="W67" s="2482"/>
      <c r="X67" s="2482"/>
      <c r="Y67" s="2482"/>
      <c r="Z67" s="2482"/>
      <c r="AA67" s="2482"/>
      <c r="AB67" s="2482"/>
      <c r="AC67" s="2482"/>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7"/>
      <c r="O70" s="2517"/>
      <c r="P70" s="2525"/>
      <c r="Q70" s="2503"/>
      <c r="R70" s="2482"/>
      <c r="S70" s="2482"/>
      <c r="T70" s="2482"/>
      <c r="U70" s="2482"/>
      <c r="V70" s="2482"/>
      <c r="W70" s="2482"/>
      <c r="X70" s="2482"/>
      <c r="Y70" s="2482"/>
      <c r="Z70" s="2482"/>
      <c r="AA70" s="2482"/>
      <c r="AB70" s="2482"/>
      <c r="AC70" s="2482"/>
    </row>
    <row r="71" spans="1:29" s="406" customFormat="1" ht="15.75"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5.75"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5.75"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5.75"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5.75"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5.75"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7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7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75" thickTop="1">
      <c r="A83" s="365"/>
      <c r="B83" s="475" t="s">
        <v>1813</v>
      </c>
      <c r="C83" s="579" t="s">
        <v>1799</v>
      </c>
      <c r="D83" s="579" t="s">
        <v>1800</v>
      </c>
      <c r="E83" s="579" t="s">
        <v>1801</v>
      </c>
      <c r="F83" s="579" t="s">
        <v>1802</v>
      </c>
      <c r="G83" s="579" t="s">
        <v>1803</v>
      </c>
      <c r="H83" s="468"/>
      <c r="I83" s="468"/>
      <c r="J83" s="468"/>
      <c r="K83" s="468"/>
      <c r="L83" s="468"/>
      <c r="M83" s="1060"/>
      <c r="N83" s="2517"/>
      <c r="O83" s="2517"/>
      <c r="P83" s="2525"/>
      <c r="Q83" s="2503"/>
      <c r="R83" s="2482"/>
      <c r="S83" s="2482"/>
      <c r="T83" s="2482"/>
      <c r="U83" s="2482"/>
      <c r="V83" s="2482"/>
      <c r="W83" s="2482"/>
      <c r="X83" s="2482"/>
      <c r="Y83" s="2482"/>
      <c r="Z83" s="2482"/>
      <c r="AA83" s="2482"/>
      <c r="AB83" s="2482"/>
      <c r="AC83" s="2482"/>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7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1" customFormat="1" ht="27.75" thickTop="1">
      <c r="A87" s="368"/>
      <c r="B87" s="467" t="s">
        <v>1823</v>
      </c>
      <c r="C87" s="483"/>
      <c r="D87" s="483"/>
      <c r="E87" s="483"/>
      <c r="F87" s="483"/>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7"/>
      <c r="O88" s="2517"/>
      <c r="P88" s="2525"/>
      <c r="Q88" s="2503"/>
      <c r="R88" s="2435"/>
      <c r="S88" s="2435"/>
      <c r="T88" s="2435"/>
      <c r="U88" s="2435"/>
      <c r="V88" s="2435"/>
      <c r="W88" s="2435"/>
      <c r="X88" s="2435"/>
      <c r="Y88" s="2435"/>
      <c r="Z88" s="2435"/>
      <c r="AA88" s="2435"/>
      <c r="AB88" s="2435"/>
      <c r="AC88" s="2435"/>
    </row>
    <row r="89" spans="1:29" s="101" customFormat="1" ht="15.75" thickTop="1">
      <c r="A89" s="368"/>
      <c r="B89" s="467" t="str">
        <f>B27</f>
        <v>楼层</v>
      </c>
      <c r="C89" s="483"/>
      <c r="D89" s="483"/>
      <c r="E89" s="483"/>
      <c r="F89" s="1777"/>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7"/>
      <c r="O90" s="2517"/>
      <c r="P90" s="2525"/>
      <c r="Q90" s="2503"/>
      <c r="R90" s="2435"/>
      <c r="S90" s="2435"/>
      <c r="T90" s="2435"/>
      <c r="U90" s="2435"/>
      <c r="V90" s="2435"/>
      <c r="W90" s="2435"/>
      <c r="X90" s="2435"/>
      <c r="Y90" s="2435"/>
      <c r="Z90" s="2435"/>
      <c r="AA90" s="2435"/>
      <c r="AB90" s="2435"/>
      <c r="AC90" s="2435"/>
    </row>
    <row r="91" spans="1:29" s="406" customFormat="1" ht="15.75"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5.75"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5.75"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5.75"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5.75"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5.75"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c r="A101" s="377" t="s">
        <v>1694</v>
      </c>
      <c r="B101" s="458" t="s">
        <v>1736</v>
      </c>
      <c r="C101" s="460"/>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c r="D104" s="6"/>
      <c r="E104" s="6"/>
      <c r="F104" s="6"/>
      <c r="G104" s="6"/>
      <c r="H104" s="6"/>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5.75" thickBot="1">
      <c r="A105" s="482"/>
      <c r="B105" s="472"/>
      <c r="C105" s="489"/>
      <c r="D105" s="465"/>
      <c r="E105" s="465"/>
      <c r="F105" s="465"/>
      <c r="G105" s="465"/>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483"/>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483"/>
      <c r="D108" s="483"/>
      <c r="E108" s="483"/>
      <c r="F108" s="511"/>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483"/>
      <c r="D115" s="483"/>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483"/>
      <c r="D117" s="483"/>
      <c r="E117" s="483"/>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511"/>
      <c r="D119" s="511"/>
      <c r="E119" s="511"/>
      <c r="F119" s="511"/>
      <c r="G119" s="511"/>
      <c r="H119" s="511"/>
      <c r="I119" s="511"/>
      <c r="J119" s="511"/>
      <c r="K119" s="511"/>
      <c r="L119" s="1813"/>
      <c r="M119" s="1814"/>
      <c r="N119" s="2517"/>
      <c r="O119" s="2517"/>
      <c r="P119" s="2530"/>
      <c r="Q119" s="2531"/>
      <c r="R119" s="2482"/>
      <c r="S119" s="2482"/>
      <c r="T119" s="2482"/>
      <c r="U119" s="2482"/>
      <c r="V119" s="2482"/>
      <c r="W119" s="2482"/>
      <c r="X119" s="2482"/>
      <c r="Y119" s="2482"/>
      <c r="Z119" s="2482"/>
      <c r="AA119" s="2482"/>
      <c r="AB119" s="2482"/>
      <c r="AC119" s="2482"/>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5.75"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483"/>
      <c r="D123" s="483"/>
      <c r="E123" s="483"/>
      <c r="F123" s="511"/>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5"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5.75"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5"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5.75"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5"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5.75"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67180.950000000026</v>
      </c>
      <c r="E3" s="852"/>
      <c r="F3" s="853"/>
      <c r="G3" s="852"/>
      <c r="H3" s="852"/>
      <c r="I3" s="852"/>
      <c r="J3" s="852"/>
      <c r="K3" s="854"/>
      <c r="L3" s="855"/>
      <c r="M3" s="856"/>
      <c r="N3" s="856"/>
      <c r="O3" s="856"/>
      <c r="P3" s="339"/>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857"/>
      <c r="M4" s="858"/>
      <c r="N4" s="858"/>
      <c r="O4" s="858"/>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857"/>
      <c r="M5" s="858"/>
      <c r="N5" s="858"/>
      <c r="O5" s="858"/>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535" t="s">
        <v>1678</v>
      </c>
      <c r="L6" s="857"/>
      <c r="M6" s="858"/>
      <c r="N6" s="858"/>
      <c r="O6" s="858"/>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SUMIF(52:52,YEAR(E7)&amp;"-"&amp;MONTH(E7),53:53)</f>
        <v>0</v>
      </c>
      <c r="G7" s="354"/>
      <c r="H7" s="353">
        <f>SUMIF(52:52,YEAR(G7)&amp;"-"&amp;MONTH(G7),53:53)</f>
        <v>0</v>
      </c>
      <c r="I7" s="354"/>
      <c r="J7" s="353">
        <f>SUMIF(52:52,YEAR(I7)&amp;"-"&amp;MONTH(I7),53:53)</f>
        <v>0</v>
      </c>
      <c r="K7" s="38"/>
      <c r="L7" s="859"/>
      <c r="M7" s="860"/>
      <c r="N7" s="860"/>
      <c r="O7" s="860"/>
      <c r="P7" s="3412"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12" t="s">
        <v>1683</v>
      </c>
      <c r="Q8" s="3413"/>
      <c r="R8" s="662" t="s">
        <v>14</v>
      </c>
      <c r="S8" s="663">
        <f t="shared" si="0"/>
        <v>100</v>
      </c>
      <c r="T8" s="662" t="s">
        <v>14</v>
      </c>
      <c r="U8" s="663">
        <f t="shared" si="1"/>
        <v>100</v>
      </c>
      <c r="V8" s="662" t="s">
        <v>14</v>
      </c>
      <c r="W8" s="663">
        <f t="shared" si="2"/>
        <v>100</v>
      </c>
      <c r="X8" s="664"/>
      <c r="Y8" s="3412" t="s">
        <v>1683</v>
      </c>
      <c r="Z8" s="3413"/>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44"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127"/>
      <c r="D10" s="117">
        <v>100</v>
      </c>
      <c r="E10" s="3127"/>
      <c r="F10" s="117">
        <f>SUMIF(59:59,E10,60:60)-SUMIF(59:59,C10,60:60)+100</f>
        <v>100</v>
      </c>
      <c r="G10" s="3128"/>
      <c r="H10" s="117">
        <f>SUMIF(59:59,G10,60:60)-SUMIF(59:59,C10,60:60)+100</f>
        <v>100</v>
      </c>
      <c r="I10" s="3127"/>
      <c r="J10" s="117">
        <f>SUMIF(59:59,I10,60:60)-SUMIF(59:59,C10,60:60)+100</f>
        <v>100</v>
      </c>
      <c r="K10" s="38"/>
      <c r="L10" s="862"/>
      <c r="M10" s="863"/>
      <c r="N10" s="863"/>
      <c r="O10" s="864"/>
      <c r="P10" s="3444"/>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44"/>
      <c r="Q11" s="528" t="str">
        <f t="shared" si="6"/>
        <v>容积率</v>
      </c>
      <c r="R11" s="662" t="s">
        <v>14</v>
      </c>
      <c r="S11" s="663">
        <f t="shared" si="0"/>
        <v>100</v>
      </c>
      <c r="T11" s="662" t="s">
        <v>14</v>
      </c>
      <c r="U11" s="663">
        <f t="shared" si="1"/>
        <v>100</v>
      </c>
      <c r="V11" s="662" t="s">
        <v>14</v>
      </c>
      <c r="W11" s="663">
        <f t="shared" si="2"/>
        <v>100</v>
      </c>
      <c r="X11" s="664"/>
      <c r="Y11" s="3337"/>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44"/>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44"/>
      <c r="Q14" s="528">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57">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45" t="s">
        <v>1691</v>
      </c>
      <c r="Q15" s="1260" t="str">
        <f t="shared" si="6"/>
        <v>产业集聚程度</v>
      </c>
      <c r="R15" s="665" t="s">
        <v>14</v>
      </c>
      <c r="S15" s="666">
        <f t="shared" si="0"/>
        <v>100</v>
      </c>
      <c r="T15" s="665" t="s">
        <v>14</v>
      </c>
      <c r="U15" s="666">
        <f t="shared" si="1"/>
        <v>100</v>
      </c>
      <c r="V15" s="665" t="s">
        <v>14</v>
      </c>
      <c r="W15" s="666">
        <f t="shared" si="2"/>
        <v>100</v>
      </c>
      <c r="X15" s="1262"/>
      <c r="Y15" s="3445"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46"/>
      <c r="Q16" s="1260"/>
      <c r="R16" s="665"/>
      <c r="S16" s="666"/>
      <c r="T16" s="665"/>
      <c r="U16" s="666"/>
      <c r="V16" s="665"/>
      <c r="W16" s="666"/>
      <c r="X16" s="1262"/>
      <c r="Y16" s="3446"/>
      <c r="Z16" s="1261"/>
      <c r="AA16" s="1261">
        <v>1</v>
      </c>
      <c r="AB16" s="1261">
        <v>1</v>
      </c>
      <c r="AC16" s="1261">
        <v>1</v>
      </c>
    </row>
    <row r="17" spans="1:29" ht="85.5">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46"/>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46"/>
      <c r="Q18" s="1260"/>
      <c r="R18" s="665"/>
      <c r="S18" s="666"/>
      <c r="T18" s="665"/>
      <c r="U18" s="666"/>
      <c r="V18" s="665"/>
      <c r="W18" s="666"/>
      <c r="X18" s="1262"/>
      <c r="Y18" s="3446"/>
      <c r="Z18" s="1261"/>
      <c r="AA18" s="1261">
        <v>1</v>
      </c>
      <c r="AB18" s="1261">
        <v>1</v>
      </c>
      <c r="AC18" s="1261">
        <v>1</v>
      </c>
    </row>
    <row r="19" spans="1:29" ht="42.75">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46"/>
      <c r="Q19" s="1260" t="str">
        <f>B19</f>
        <v>公共配套设施</v>
      </c>
      <c r="R19" s="665" t="s">
        <v>14</v>
      </c>
      <c r="S19" s="666">
        <f>F19</f>
        <v>100</v>
      </c>
      <c r="T19" s="665" t="s">
        <v>14</v>
      </c>
      <c r="U19" s="666">
        <f>H19</f>
        <v>100</v>
      </c>
      <c r="V19" s="665" t="s">
        <v>14</v>
      </c>
      <c r="W19" s="666">
        <f>J19</f>
        <v>100</v>
      </c>
      <c r="X19" s="1262"/>
      <c r="Y19" s="3446"/>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46"/>
      <c r="Q20" s="1260"/>
      <c r="R20" s="665"/>
      <c r="S20" s="666"/>
      <c r="T20" s="665"/>
      <c r="U20" s="666"/>
      <c r="V20" s="665"/>
      <c r="W20" s="666"/>
      <c r="X20" s="1262"/>
      <c r="Y20" s="3446"/>
      <c r="Z20" s="1261"/>
      <c r="AA20" s="1261">
        <v>1</v>
      </c>
      <c r="AB20" s="1261">
        <v>1</v>
      </c>
      <c r="AC20" s="1261">
        <v>1</v>
      </c>
    </row>
    <row r="21" spans="1:29" ht="28.5">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46"/>
      <c r="Q21" s="1260" t="str">
        <f>B21</f>
        <v>基础设施水平</v>
      </c>
      <c r="R21" s="665" t="s">
        <v>14</v>
      </c>
      <c r="S21" s="666">
        <f>F21</f>
        <v>100</v>
      </c>
      <c r="T21" s="665" t="s">
        <v>14</v>
      </c>
      <c r="U21" s="666">
        <f>H21</f>
        <v>100</v>
      </c>
      <c r="V21" s="665" t="s">
        <v>14</v>
      </c>
      <c r="W21" s="666">
        <f>J21</f>
        <v>100</v>
      </c>
      <c r="X21" s="1262"/>
      <c r="Y21" s="3446"/>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446"/>
      <c r="Q22" s="1260"/>
      <c r="R22" s="665"/>
      <c r="S22" s="666"/>
      <c r="T22" s="665"/>
      <c r="U22" s="666"/>
      <c r="V22" s="665"/>
      <c r="W22" s="666"/>
      <c r="X22" s="1262"/>
      <c r="Y22" s="3446"/>
      <c r="Z22" s="1261"/>
      <c r="AA22" s="1261">
        <v>1</v>
      </c>
      <c r="AB22" s="1261">
        <v>1</v>
      </c>
      <c r="AC22" s="1261">
        <v>1</v>
      </c>
    </row>
    <row r="23" spans="1:29" ht="71.25">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46"/>
      <c r="Q23" s="1260" t="str">
        <f>B23</f>
        <v>环境质量</v>
      </c>
      <c r="R23" s="665" t="s">
        <v>14</v>
      </c>
      <c r="S23" s="666">
        <f>F23</f>
        <v>100</v>
      </c>
      <c r="T23" s="665" t="s">
        <v>14</v>
      </c>
      <c r="U23" s="666">
        <f>H23</f>
        <v>100</v>
      </c>
      <c r="V23" s="665" t="s">
        <v>14</v>
      </c>
      <c r="W23" s="666">
        <f>J23</f>
        <v>100</v>
      </c>
      <c r="X23" s="1262"/>
      <c r="Y23" s="3446"/>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46"/>
      <c r="Q24" s="1260"/>
      <c r="R24" s="665"/>
      <c r="S24" s="666"/>
      <c r="T24" s="665"/>
      <c r="U24" s="666"/>
      <c r="V24" s="665"/>
      <c r="W24" s="666"/>
      <c r="X24" s="1262"/>
      <c r="Y24" s="3446"/>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46"/>
      <c r="Q25" s="1260">
        <f>B25</f>
        <v>111</v>
      </c>
      <c r="R25" s="665" t="s">
        <v>14</v>
      </c>
      <c r="S25" s="666">
        <f>F25</f>
        <v>100</v>
      </c>
      <c r="T25" s="665" t="s">
        <v>14</v>
      </c>
      <c r="U25" s="666">
        <f>H25</f>
        <v>100</v>
      </c>
      <c r="V25" s="665" t="s">
        <v>14</v>
      </c>
      <c r="W25" s="666">
        <f>J25</f>
        <v>100</v>
      </c>
      <c r="X25" s="1262"/>
      <c r="Y25" s="3446"/>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46"/>
      <c r="Q26" s="1260">
        <f t="shared" ref="Q26:Q40" si="11">B26</f>
        <v>111</v>
      </c>
      <c r="R26" s="665" t="s">
        <v>14</v>
      </c>
      <c r="S26" s="666">
        <f>F26</f>
        <v>100</v>
      </c>
      <c r="T26" s="665" t="s">
        <v>14</v>
      </c>
      <c r="U26" s="666">
        <f>H26</f>
        <v>100</v>
      </c>
      <c r="V26" s="665" t="s">
        <v>14</v>
      </c>
      <c r="W26" s="666">
        <f>J26</f>
        <v>100</v>
      </c>
      <c r="X26" s="1262"/>
      <c r="Y26" s="3446"/>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46"/>
      <c r="Q27" s="528">
        <f t="shared" si="11"/>
        <v>111</v>
      </c>
      <c r="R27" s="662" t="s">
        <v>14</v>
      </c>
      <c r="S27" s="663">
        <f>F27</f>
        <v>100</v>
      </c>
      <c r="T27" s="662" t="s">
        <v>14</v>
      </c>
      <c r="U27" s="663">
        <f>H27</f>
        <v>100</v>
      </c>
      <c r="V27" s="662" t="s">
        <v>14</v>
      </c>
      <c r="W27" s="663">
        <f>J27</f>
        <v>100</v>
      </c>
      <c r="X27" s="664"/>
      <c r="Y27" s="3446"/>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46"/>
      <c r="Q28" s="1260">
        <f t="shared" si="11"/>
        <v>111</v>
      </c>
      <c r="R28" s="665" t="s">
        <v>14</v>
      </c>
      <c r="S28" s="666">
        <f t="shared" ref="S28:S40" si="12">F28</f>
        <v>100</v>
      </c>
      <c r="T28" s="665" t="s">
        <v>14</v>
      </c>
      <c r="U28" s="666">
        <f t="shared" ref="U28:U40" si="13">H28</f>
        <v>100</v>
      </c>
      <c r="V28" s="665" t="s">
        <v>14</v>
      </c>
      <c r="W28" s="666">
        <f t="shared" ref="W28:W40" si="14">J28</f>
        <v>100</v>
      </c>
      <c r="X28" s="1262"/>
      <c r="Y28" s="3446"/>
      <c r="Z28" s="1261">
        <f t="shared" ref="Z28:Z40" si="15">Q28</f>
        <v>111</v>
      </c>
      <c r="AA28" s="1261">
        <f t="shared" si="3"/>
        <v>1</v>
      </c>
      <c r="AB28" s="1261">
        <f t="shared" si="4"/>
        <v>1</v>
      </c>
      <c r="AC28" s="1261">
        <f t="shared" si="5"/>
        <v>1</v>
      </c>
    </row>
    <row r="29" spans="1:29" ht="28.5">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69" t="s">
        <v>1696</v>
      </c>
      <c r="Q29" s="1260" t="str">
        <f t="shared" si="11"/>
        <v>建筑类型</v>
      </c>
      <c r="R29" s="665" t="s">
        <v>14</v>
      </c>
      <c r="S29" s="666">
        <f t="shared" si="12"/>
        <v>100</v>
      </c>
      <c r="T29" s="665" t="s">
        <v>14</v>
      </c>
      <c r="U29" s="666">
        <f t="shared" si="13"/>
        <v>100</v>
      </c>
      <c r="V29" s="665" t="s">
        <v>14</v>
      </c>
      <c r="W29" s="666">
        <f t="shared" si="14"/>
        <v>100</v>
      </c>
      <c r="X29" s="1262"/>
      <c r="Y29" s="3450"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50"/>
      <c r="Q30" s="529" t="str">
        <f t="shared" si="11"/>
        <v>项目建筑规模</v>
      </c>
      <c r="R30" s="667" t="s">
        <v>14</v>
      </c>
      <c r="S30" s="668" t="e">
        <f t="shared" si="12"/>
        <v>#N/A</v>
      </c>
      <c r="T30" s="667" t="s">
        <v>14</v>
      </c>
      <c r="U30" s="668" t="e">
        <f t="shared" si="13"/>
        <v>#N/A</v>
      </c>
      <c r="V30" s="667" t="s">
        <v>14</v>
      </c>
      <c r="W30" s="668" t="e">
        <f t="shared" si="14"/>
        <v>#N/A</v>
      </c>
      <c r="X30" s="669"/>
      <c r="Y30" s="3450"/>
      <c r="Z30" s="670"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50"/>
      <c r="Q31" s="1260" t="str">
        <f t="shared" si="11"/>
        <v>建筑结构</v>
      </c>
      <c r="R31" s="665" t="s">
        <v>14</v>
      </c>
      <c r="S31" s="666">
        <f t="shared" si="12"/>
        <v>100</v>
      </c>
      <c r="T31" s="665" t="s">
        <v>14</v>
      </c>
      <c r="U31" s="666">
        <f t="shared" si="13"/>
        <v>100</v>
      </c>
      <c r="V31" s="665" t="s">
        <v>14</v>
      </c>
      <c r="W31" s="666">
        <f t="shared" si="14"/>
        <v>100</v>
      </c>
      <c r="X31" s="1262"/>
      <c r="Y31" s="3450"/>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50"/>
      <c r="Q32" s="1260" t="str">
        <f t="shared" si="11"/>
        <v>公共部分装修</v>
      </c>
      <c r="R32" s="665" t="s">
        <v>14</v>
      </c>
      <c r="S32" s="666">
        <f t="shared" si="12"/>
        <v>100</v>
      </c>
      <c r="T32" s="665" t="s">
        <v>14</v>
      </c>
      <c r="U32" s="666">
        <f t="shared" si="13"/>
        <v>100</v>
      </c>
      <c r="V32" s="665" t="s">
        <v>14</v>
      </c>
      <c r="W32" s="666">
        <f t="shared" si="14"/>
        <v>100</v>
      </c>
      <c r="X32" s="1262"/>
      <c r="Y32" s="3450"/>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50"/>
      <c r="Q33" s="1260" t="str">
        <f t="shared" si="11"/>
        <v>成新度</v>
      </c>
      <c r="R33" s="665" t="s">
        <v>14</v>
      </c>
      <c r="S33" s="666" t="e">
        <f t="shared" si="12"/>
        <v>#N/A</v>
      </c>
      <c r="T33" s="665" t="s">
        <v>14</v>
      </c>
      <c r="U33" s="666" t="e">
        <f t="shared" si="13"/>
        <v>#N/A</v>
      </c>
      <c r="V33" s="665" t="s">
        <v>14</v>
      </c>
      <c r="W33" s="666" t="e">
        <f t="shared" si="14"/>
        <v>#N/A</v>
      </c>
      <c r="X33" s="1262"/>
      <c r="Y33" s="3450"/>
      <c r="Z33" s="1261" t="str">
        <f t="shared" si="15"/>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50"/>
      <c r="Q34" s="528" t="str">
        <f t="shared" si="11"/>
        <v>物业管理</v>
      </c>
      <c r="R34" s="662" t="s">
        <v>14</v>
      </c>
      <c r="S34" s="663">
        <f t="shared" si="12"/>
        <v>100</v>
      </c>
      <c r="T34" s="662" t="s">
        <v>14</v>
      </c>
      <c r="U34" s="663">
        <f t="shared" si="13"/>
        <v>100</v>
      </c>
      <c r="V34" s="662" t="s">
        <v>14</v>
      </c>
      <c r="W34" s="663">
        <f t="shared" si="14"/>
        <v>100</v>
      </c>
      <c r="X34" s="664"/>
      <c r="Y34" s="3450"/>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50" t="s">
        <v>1696</v>
      </c>
      <c r="Q35" s="1260" t="str">
        <f t="shared" si="11"/>
        <v>市政基础设施</v>
      </c>
      <c r="R35" s="665" t="s">
        <v>14</v>
      </c>
      <c r="S35" s="666">
        <f t="shared" si="12"/>
        <v>100</v>
      </c>
      <c r="T35" s="665" t="s">
        <v>14</v>
      </c>
      <c r="U35" s="666">
        <f t="shared" si="13"/>
        <v>100</v>
      </c>
      <c r="V35" s="665" t="s">
        <v>14</v>
      </c>
      <c r="W35" s="666">
        <f t="shared" si="14"/>
        <v>100</v>
      </c>
      <c r="X35" s="1262"/>
      <c r="Y35" s="3450"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50"/>
      <c r="Q36" s="1260" t="str">
        <f t="shared" si="11"/>
        <v>内部装修</v>
      </c>
      <c r="R36" s="665" t="s">
        <v>14</v>
      </c>
      <c r="S36" s="666">
        <f t="shared" si="12"/>
        <v>100</v>
      </c>
      <c r="T36" s="665" t="s">
        <v>14</v>
      </c>
      <c r="U36" s="666">
        <f t="shared" si="13"/>
        <v>100</v>
      </c>
      <c r="V36" s="665" t="s">
        <v>14</v>
      </c>
      <c r="W36" s="666">
        <f t="shared" si="14"/>
        <v>100</v>
      </c>
      <c r="X36" s="1262"/>
      <c r="Y36" s="3450"/>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50"/>
      <c r="Q37" s="1260" t="str">
        <f t="shared" si="11"/>
        <v>内部装修状况</v>
      </c>
      <c r="R37" s="665" t="s">
        <v>14</v>
      </c>
      <c r="S37" s="666">
        <f t="shared" si="12"/>
        <v>100</v>
      </c>
      <c r="T37" s="665" t="s">
        <v>14</v>
      </c>
      <c r="U37" s="666">
        <f t="shared" si="13"/>
        <v>100</v>
      </c>
      <c r="V37" s="665" t="s">
        <v>14</v>
      </c>
      <c r="W37" s="666">
        <f t="shared" si="14"/>
        <v>100</v>
      </c>
      <c r="X37" s="1262"/>
      <c r="Y37" s="3450"/>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50"/>
      <c r="Q38" s="529">
        <f t="shared" si="11"/>
        <v>111</v>
      </c>
      <c r="R38" s="667" t="s">
        <v>14</v>
      </c>
      <c r="S38" s="668">
        <f t="shared" si="12"/>
        <v>100</v>
      </c>
      <c r="T38" s="667" t="s">
        <v>14</v>
      </c>
      <c r="U38" s="668">
        <f t="shared" si="13"/>
        <v>100</v>
      </c>
      <c r="V38" s="667" t="s">
        <v>14</v>
      </c>
      <c r="W38" s="668">
        <f t="shared" si="14"/>
        <v>100</v>
      </c>
      <c r="X38" s="669"/>
      <c r="Y38" s="3450"/>
      <c r="Z38" s="670">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50"/>
      <c r="Q39" s="1260">
        <f t="shared" si="11"/>
        <v>111</v>
      </c>
      <c r="R39" s="665" t="s">
        <v>14</v>
      </c>
      <c r="S39" s="666">
        <f t="shared" si="12"/>
        <v>100</v>
      </c>
      <c r="T39" s="665" t="s">
        <v>14</v>
      </c>
      <c r="U39" s="666">
        <f t="shared" si="13"/>
        <v>100</v>
      </c>
      <c r="V39" s="665" t="s">
        <v>14</v>
      </c>
      <c r="W39" s="666">
        <f t="shared" si="14"/>
        <v>100</v>
      </c>
      <c r="X39" s="1262"/>
      <c r="Y39" s="3450"/>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51"/>
      <c r="Q40" s="1260">
        <f t="shared" si="11"/>
        <v>111</v>
      </c>
      <c r="R40" s="665" t="s">
        <v>14</v>
      </c>
      <c r="S40" s="666">
        <f t="shared" si="12"/>
        <v>100</v>
      </c>
      <c r="T40" s="665" t="s">
        <v>14</v>
      </c>
      <c r="U40" s="666">
        <f t="shared" si="13"/>
        <v>100</v>
      </c>
      <c r="V40" s="665" t="s">
        <v>14</v>
      </c>
      <c r="W40" s="666">
        <f t="shared" si="14"/>
        <v>100</v>
      </c>
      <c r="X40" s="1262"/>
      <c r="Y40" s="3451"/>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44" t="str">
        <f>A41</f>
        <v>成交单价（元/平方米）</v>
      </c>
      <c r="Q41" s="3444"/>
      <c r="R41" s="3439">
        <f>E41</f>
        <v>0</v>
      </c>
      <c r="S41" s="3439"/>
      <c r="T41" s="3439">
        <f>G41</f>
        <v>0</v>
      </c>
      <c r="U41" s="3439"/>
      <c r="V41" s="3439">
        <f>I41</f>
        <v>0</v>
      </c>
      <c r="W41" s="3439"/>
      <c r="X41" s="383"/>
      <c r="Y41" s="671"/>
      <c r="Z41" s="383"/>
      <c r="AA41" s="383"/>
      <c r="AB41" s="383"/>
      <c r="AC41" s="383"/>
    </row>
    <row r="42" spans="1:29" ht="15.7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44" t="str">
        <f>A42</f>
        <v>比较价值（元/平方米）</v>
      </c>
      <c r="Q42" s="3444"/>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70"/>
      <c r="M43" s="858"/>
      <c r="N43" s="858"/>
      <c r="O43" s="858"/>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3"/>
      <c r="Y43" s="383"/>
      <c r="Z43" s="383"/>
      <c r="AA43" s="383"/>
      <c r="AB43" s="383"/>
      <c r="AC43" s="383"/>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3"/>
      <c r="M46" s="858"/>
      <c r="N46" s="858"/>
      <c r="O46" s="858"/>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3"/>
      <c r="M47" s="858"/>
      <c r="N47" s="858"/>
      <c r="O47" s="858"/>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3"/>
      <c r="M48" s="871"/>
      <c r="N48" s="871"/>
      <c r="O48" s="871"/>
    </row>
    <row r="49" spans="1:17" s="435"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1.75" thickBot="1">
      <c r="A51" s="656" t="s">
        <v>1798</v>
      </c>
      <c r="B51" s="383"/>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3"/>
      <c r="O54" s="2534"/>
      <c r="P54" s="437"/>
      <c r="Q54" s="437"/>
    </row>
    <row r="55" spans="1:17" s="101" customFormat="1" ht="15">
      <c r="A55" s="453" t="s">
        <v>1681</v>
      </c>
      <c r="B55" s="442"/>
      <c r="C55" s="454" t="s">
        <v>1776</v>
      </c>
      <c r="D55" s="31"/>
      <c r="E55" s="31"/>
      <c r="F55" s="31"/>
      <c r="G55" s="31"/>
      <c r="H55" s="31"/>
      <c r="I55" s="31"/>
      <c r="J55" s="31"/>
      <c r="K55" s="31"/>
      <c r="L55" s="455"/>
      <c r="M55" s="456"/>
      <c r="N55" s="875"/>
      <c r="O55" s="875"/>
      <c r="P55" s="457"/>
      <c r="Q55" s="437"/>
    </row>
    <row r="56" spans="1:17" s="101"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5.75" thickTop="1">
      <c r="A80" s="368"/>
      <c r="B80" s="467">
        <f>B25</f>
        <v>111</v>
      </c>
      <c r="C80" s="483"/>
      <c r="D80" s="483"/>
      <c r="E80" s="483"/>
      <c r="F80" s="483"/>
      <c r="G80" s="483"/>
      <c r="H80" s="483"/>
      <c r="I80" s="483"/>
      <c r="J80" s="483"/>
      <c r="K80" s="483"/>
      <c r="L80" s="508"/>
      <c r="M80" s="509"/>
      <c r="N80" s="875"/>
      <c r="O80" s="875"/>
      <c r="P80" s="40"/>
      <c r="Q80" s="437"/>
    </row>
    <row r="81" spans="1:17" s="101" customFormat="1" ht="15.75" thickBot="1">
      <c r="A81" s="368"/>
      <c r="B81" s="472"/>
      <c r="C81" s="489"/>
      <c r="D81" s="465"/>
      <c r="E81" s="465"/>
      <c r="F81" s="465"/>
      <c r="G81" s="465"/>
      <c r="H81" s="465"/>
      <c r="I81" s="465"/>
      <c r="J81" s="465"/>
      <c r="K81" s="465"/>
      <c r="L81" s="465"/>
      <c r="M81" s="466"/>
      <c r="N81" s="877"/>
      <c r="O81" s="877"/>
      <c r="P81" s="40"/>
      <c r="Q81" s="437"/>
    </row>
    <row r="82" spans="1:17" s="101" customFormat="1" ht="15.75" thickTop="1">
      <c r="A82" s="368"/>
      <c r="B82" s="467">
        <f>B26</f>
        <v>111</v>
      </c>
      <c r="C82" s="483"/>
      <c r="D82" s="483"/>
      <c r="E82" s="483"/>
      <c r="F82" s="483"/>
      <c r="G82" s="483"/>
      <c r="H82" s="483"/>
      <c r="I82" s="483"/>
      <c r="J82" s="483"/>
      <c r="K82" s="483"/>
      <c r="L82" s="508"/>
      <c r="M82" s="509"/>
      <c r="N82" s="875"/>
      <c r="O82" s="875"/>
      <c r="P82" s="40"/>
      <c r="Q82" s="437"/>
    </row>
    <row r="83" spans="1:17" s="101"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3328</v>
      </c>
      <c r="C1" s="1138" t="s">
        <v>1662</v>
      </c>
      <c r="D1" s="1139"/>
      <c r="E1" s="312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SUMIF(48:48,YEAR(E7)&amp;"-"&amp;MONTH(E7),49:49)</f>
        <v>0</v>
      </c>
      <c r="G7" s="354"/>
      <c r="H7" s="353">
        <f>SUMIF(48:48,YEAR(G7)&amp;"-"&amp;MONTH(G7),49:49)</f>
        <v>0</v>
      </c>
      <c r="I7" s="354"/>
      <c r="J7" s="353">
        <f>SUMIF(48:48,YEAR(I7)&amp;"-"&amp;MONTH(I7),49:49)</f>
        <v>0</v>
      </c>
      <c r="K7" s="38"/>
      <c r="L7" s="2483"/>
      <c r="M7" s="2435"/>
      <c r="N7" s="2435"/>
      <c r="O7" s="2435"/>
      <c r="P7" s="3412" t="s">
        <v>1680</v>
      </c>
      <c r="Q7" s="3440"/>
      <c r="R7" s="662" t="s">
        <v>14</v>
      </c>
      <c r="S7" s="663">
        <f t="shared" ref="S7:S14" si="0">F7</f>
        <v>0</v>
      </c>
      <c r="T7" s="662" t="s">
        <v>14</v>
      </c>
      <c r="U7" s="663">
        <f t="shared" ref="U7:U14" si="1">H7</f>
        <v>0</v>
      </c>
      <c r="V7" s="662" t="s">
        <v>14</v>
      </c>
      <c r="W7" s="663">
        <f t="shared" ref="W7:W14" si="2">J7</f>
        <v>0</v>
      </c>
      <c r="X7" s="664"/>
      <c r="Y7" s="3412" t="s">
        <v>1680</v>
      </c>
      <c r="Z7" s="3413"/>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444" t="s">
        <v>1686</v>
      </c>
      <c r="Q9" s="528" t="str">
        <f t="shared" ref="Q9:Q14" si="6">B9</f>
        <v>用途</v>
      </c>
      <c r="R9" s="662" t="s">
        <v>14</v>
      </c>
      <c r="S9" s="663">
        <f t="shared" si="0"/>
        <v>100</v>
      </c>
      <c r="T9" s="662" t="s">
        <v>14</v>
      </c>
      <c r="U9" s="663">
        <f t="shared" si="1"/>
        <v>100</v>
      </c>
      <c r="V9" s="662" t="s">
        <v>14</v>
      </c>
      <c r="W9" s="663">
        <f t="shared" si="2"/>
        <v>100</v>
      </c>
      <c r="X9" s="664"/>
      <c r="Y9" s="3337" t="s">
        <v>1687</v>
      </c>
      <c r="Z9" s="50" t="str">
        <f t="shared" ref="Z9:Z14" si="7">Q9</f>
        <v>用途</v>
      </c>
      <c r="AA9" s="50">
        <f t="shared" si="3"/>
        <v>1</v>
      </c>
      <c r="AB9" s="50">
        <f t="shared" si="4"/>
        <v>1</v>
      </c>
      <c r="AC9" s="50">
        <f t="shared" si="5"/>
        <v>1</v>
      </c>
    </row>
    <row r="10" spans="1:29" s="364" customFormat="1" ht="27">
      <c r="A10" s="563"/>
      <c r="B10" s="564" t="s">
        <v>1688</v>
      </c>
      <c r="C10" s="3127"/>
      <c r="D10" s="117">
        <v>100</v>
      </c>
      <c r="E10" s="3127"/>
      <c r="F10" s="117">
        <f>SUMIF(55:55,E10,56:56)-SUMIF(55:55,C10,56:56)+100</f>
        <v>100</v>
      </c>
      <c r="G10" s="3128"/>
      <c r="H10" s="117">
        <f>SUMIF(55:55,G10,56:56)-SUMIF(55:55,C10,56:56)+100</f>
        <v>100</v>
      </c>
      <c r="I10" s="3127"/>
      <c r="J10" s="117">
        <f>SUMIF(55:55,I10,56:56)-SUMIF(55:55,C10,56:56)+100</f>
        <v>100</v>
      </c>
      <c r="K10" s="38"/>
      <c r="L10" s="2484"/>
      <c r="M10" s="2485"/>
      <c r="N10" s="2485"/>
      <c r="O10" s="2485"/>
      <c r="P10" s="3444"/>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444"/>
      <c r="Q11" s="528">
        <f t="shared" si="6"/>
        <v>111</v>
      </c>
      <c r="R11" s="662" t="s">
        <v>14</v>
      </c>
      <c r="S11" s="663">
        <f t="shared" si="0"/>
        <v>100</v>
      </c>
      <c r="T11" s="662" t="s">
        <v>14</v>
      </c>
      <c r="U11" s="663">
        <f t="shared" si="1"/>
        <v>100</v>
      </c>
      <c r="V11" s="662" t="s">
        <v>14</v>
      </c>
      <c r="W11" s="663">
        <f t="shared" si="2"/>
        <v>100</v>
      </c>
      <c r="X11" s="664"/>
      <c r="Y11" s="3337"/>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444"/>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
      <c r="A14" s="343" t="s">
        <v>1690</v>
      </c>
      <c r="B14" s="552" t="s">
        <v>1833</v>
      </c>
      <c r="C14" s="1816" t="str">
        <f>IF(B1="工业",估价对象房地状况!G4,估价对象房地状况!C6)</f>
        <v>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445" t="s">
        <v>1691</v>
      </c>
      <c r="Q14" s="1260" t="str">
        <f t="shared" si="6"/>
        <v>交通便捷度</v>
      </c>
      <c r="R14" s="665" t="s">
        <v>14</v>
      </c>
      <c r="S14" s="666">
        <f t="shared" si="0"/>
        <v>100</v>
      </c>
      <c r="T14" s="665" t="s">
        <v>14</v>
      </c>
      <c r="U14" s="666">
        <f t="shared" si="1"/>
        <v>100</v>
      </c>
      <c r="V14" s="665" t="s">
        <v>14</v>
      </c>
      <c r="W14" s="666">
        <f t="shared" si="2"/>
        <v>100</v>
      </c>
      <c r="X14" s="1262"/>
      <c r="Y14" s="3445"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7"/>
      <c r="M15" s="2482"/>
      <c r="N15" s="2482"/>
      <c r="O15" s="2482"/>
      <c r="P15" s="3446"/>
      <c r="Q15" s="1260"/>
      <c r="R15" s="665"/>
      <c r="S15" s="666"/>
      <c r="T15" s="665"/>
      <c r="U15" s="666"/>
      <c r="V15" s="665"/>
      <c r="W15" s="666"/>
      <c r="X15" s="1262"/>
      <c r="Y15" s="3446"/>
      <c r="Z15" s="1261"/>
      <c r="AA15" s="1261">
        <v>1</v>
      </c>
      <c r="AB15" s="1261">
        <v>1</v>
      </c>
      <c r="AC15" s="1261">
        <v>1</v>
      </c>
    </row>
    <row r="16" spans="1:29" ht="15">
      <c r="A16" s="346"/>
      <c r="B16" s="554" t="s">
        <v>1812</v>
      </c>
      <c r="C16" s="1751" t="str">
        <f>IF(B1="工业",估价对象房地状况!G5,估价对象房地状况!C7)</f>
        <v>较好</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46"/>
      <c r="Q16" s="1260" t="str">
        <f>B16</f>
        <v>公共配套设施</v>
      </c>
      <c r="R16" s="665" t="s">
        <v>14</v>
      </c>
      <c r="S16" s="666">
        <f>F16</f>
        <v>100</v>
      </c>
      <c r="T16" s="665" t="s">
        <v>14</v>
      </c>
      <c r="U16" s="666">
        <f>H16</f>
        <v>100</v>
      </c>
      <c r="V16" s="665" t="s">
        <v>14</v>
      </c>
      <c r="W16" s="666">
        <f>J16</f>
        <v>100</v>
      </c>
      <c r="X16" s="1262"/>
      <c r="Y16" s="3446"/>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7"/>
      <c r="M17" s="2482"/>
      <c r="N17" s="2482"/>
      <c r="O17" s="2482"/>
      <c r="P17" s="3446"/>
      <c r="Q17" s="1260"/>
      <c r="R17" s="665"/>
      <c r="S17" s="666"/>
      <c r="T17" s="665"/>
      <c r="U17" s="666"/>
      <c r="V17" s="665"/>
      <c r="W17" s="666"/>
      <c r="X17" s="1262"/>
      <c r="Y17" s="3446"/>
      <c r="Z17" s="1261"/>
      <c r="AA17" s="1261">
        <v>1</v>
      </c>
      <c r="AB17" s="1261">
        <v>1</v>
      </c>
      <c r="AC17" s="1261">
        <v>1</v>
      </c>
    </row>
    <row r="18" spans="1:29" ht="15">
      <c r="A18" s="346"/>
      <c r="B18" s="555" t="s">
        <v>1813</v>
      </c>
      <c r="C18" s="1751"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46"/>
      <c r="Q18" s="1260" t="str">
        <f>B18</f>
        <v>基础设施水平</v>
      </c>
      <c r="R18" s="665" t="s">
        <v>14</v>
      </c>
      <c r="S18" s="666">
        <f>F18</f>
        <v>100</v>
      </c>
      <c r="T18" s="665" t="s">
        <v>14</v>
      </c>
      <c r="U18" s="666">
        <f>H18</f>
        <v>100</v>
      </c>
      <c r="V18" s="665" t="s">
        <v>14</v>
      </c>
      <c r="W18" s="666">
        <f>J18</f>
        <v>100</v>
      </c>
      <c r="X18" s="1262"/>
      <c r="Y18" s="3446"/>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87"/>
      <c r="M19" s="2482"/>
      <c r="N19" s="2482"/>
      <c r="O19" s="2482"/>
      <c r="P19" s="3446"/>
      <c r="Q19" s="1260"/>
      <c r="R19" s="665"/>
      <c r="S19" s="666"/>
      <c r="T19" s="665"/>
      <c r="U19" s="666"/>
      <c r="V19" s="665"/>
      <c r="W19" s="666"/>
      <c r="X19" s="1262"/>
      <c r="Y19" s="3446"/>
      <c r="Z19" s="1261"/>
      <c r="AA19" s="1261">
        <v>1</v>
      </c>
      <c r="AB19" s="1261">
        <v>1</v>
      </c>
      <c r="AC19" s="1261">
        <v>1</v>
      </c>
    </row>
    <row r="20" spans="1:29" ht="42.75">
      <c r="A20" s="346"/>
      <c r="B20" s="554" t="s">
        <v>1834</v>
      </c>
      <c r="C20" s="1751" t="str">
        <f>IF(B1="工业",估价对象房地状况!G7,估价对象房地状况!C9)</f>
        <v>博大公园、亦庄新城滨河公园，一般</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46"/>
      <c r="Q20" s="1260" t="str">
        <f>B20</f>
        <v>自然及人文环境</v>
      </c>
      <c r="R20" s="665" t="s">
        <v>14</v>
      </c>
      <c r="S20" s="666">
        <f>F20</f>
        <v>100</v>
      </c>
      <c r="T20" s="665" t="s">
        <v>14</v>
      </c>
      <c r="U20" s="666">
        <f>H20</f>
        <v>100</v>
      </c>
      <c r="V20" s="665" t="s">
        <v>14</v>
      </c>
      <c r="W20" s="666">
        <f>J20</f>
        <v>100</v>
      </c>
      <c r="X20" s="1262"/>
      <c r="Y20" s="3446"/>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7"/>
      <c r="M21" s="2482"/>
      <c r="N21" s="2482"/>
      <c r="O21" s="2482"/>
      <c r="P21" s="3446"/>
      <c r="Q21" s="1260"/>
      <c r="R21" s="665"/>
      <c r="S21" s="666"/>
      <c r="T21" s="665"/>
      <c r="U21" s="666"/>
      <c r="V21" s="665"/>
      <c r="W21" s="666"/>
      <c r="X21" s="1262"/>
      <c r="Y21" s="3446"/>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46"/>
      <c r="Q22" s="1260" t="str">
        <f>B22</f>
        <v>楼层</v>
      </c>
      <c r="R22" s="665" t="s">
        <v>14</v>
      </c>
      <c r="S22" s="666">
        <f>F22</f>
        <v>100</v>
      </c>
      <c r="T22" s="665" t="s">
        <v>14</v>
      </c>
      <c r="U22" s="666">
        <f>H22</f>
        <v>100</v>
      </c>
      <c r="V22" s="665" t="s">
        <v>14</v>
      </c>
      <c r="W22" s="666">
        <f>J22</f>
        <v>100</v>
      </c>
      <c r="X22" s="1262"/>
      <c r="Y22" s="3446"/>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46"/>
      <c r="Q23" s="1260">
        <f>B23</f>
        <v>111</v>
      </c>
      <c r="R23" s="665" t="s">
        <v>14</v>
      </c>
      <c r="S23" s="666">
        <f>F23</f>
        <v>100</v>
      </c>
      <c r="T23" s="665" t="s">
        <v>14</v>
      </c>
      <c r="U23" s="666">
        <f>H23</f>
        <v>100</v>
      </c>
      <c r="V23" s="665" t="s">
        <v>14</v>
      </c>
      <c r="W23" s="666">
        <f>J23</f>
        <v>100</v>
      </c>
      <c r="X23" s="1262"/>
      <c r="Y23" s="3446"/>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46"/>
      <c r="Q24" s="1260">
        <f t="shared" ref="Q24:Q36" si="11">B24</f>
        <v>111</v>
      </c>
      <c r="R24" s="665" t="s">
        <v>14</v>
      </c>
      <c r="S24" s="666">
        <f>F24</f>
        <v>100</v>
      </c>
      <c r="T24" s="665" t="s">
        <v>14</v>
      </c>
      <c r="U24" s="666">
        <f>H24</f>
        <v>100</v>
      </c>
      <c r="V24" s="665" t="s">
        <v>14</v>
      </c>
      <c r="W24" s="666">
        <f>J24</f>
        <v>100</v>
      </c>
      <c r="X24" s="1262"/>
      <c r="Y24" s="3446"/>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446"/>
      <c r="Q25" s="528">
        <f t="shared" si="11"/>
        <v>111</v>
      </c>
      <c r="R25" s="662" t="s">
        <v>14</v>
      </c>
      <c r="S25" s="663">
        <f>F25</f>
        <v>100</v>
      </c>
      <c r="T25" s="662" t="s">
        <v>14</v>
      </c>
      <c r="U25" s="663">
        <f>H25</f>
        <v>100</v>
      </c>
      <c r="V25" s="662" t="s">
        <v>14</v>
      </c>
      <c r="W25" s="663">
        <f>J25</f>
        <v>100</v>
      </c>
      <c r="X25" s="664"/>
      <c r="Y25" s="3446"/>
      <c r="Z25" s="50">
        <f>Q25</f>
        <v>111</v>
      </c>
      <c r="AA25" s="1261">
        <f>D25/F25</f>
        <v>1</v>
      </c>
      <c r="AB25" s="1261">
        <f>D25/H25</f>
        <v>1</v>
      </c>
      <c r="AC25" s="1261">
        <f>D25/J25</f>
        <v>1</v>
      </c>
    </row>
    <row r="26" spans="1:29" ht="28.5">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69"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50"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50"/>
      <c r="Q27" s="529" t="str">
        <f t="shared" si="11"/>
        <v>项目停车位配比</v>
      </c>
      <c r="R27" s="667" t="s">
        <v>14</v>
      </c>
      <c r="S27" s="668">
        <f t="shared" si="12"/>
        <v>100</v>
      </c>
      <c r="T27" s="667" t="s">
        <v>14</v>
      </c>
      <c r="U27" s="668">
        <f t="shared" si="13"/>
        <v>100</v>
      </c>
      <c r="V27" s="667" t="s">
        <v>14</v>
      </c>
      <c r="W27" s="668">
        <f t="shared" si="14"/>
        <v>100</v>
      </c>
      <c r="X27" s="669"/>
      <c r="Y27" s="3450"/>
      <c r="Z27" s="670"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50"/>
      <c r="Q28" s="1260" t="str">
        <f t="shared" si="11"/>
        <v>公共部分装修</v>
      </c>
      <c r="R28" s="665" t="s">
        <v>14</v>
      </c>
      <c r="S28" s="666">
        <f t="shared" si="12"/>
        <v>100</v>
      </c>
      <c r="T28" s="665" t="s">
        <v>14</v>
      </c>
      <c r="U28" s="666">
        <f t="shared" si="13"/>
        <v>100</v>
      </c>
      <c r="V28" s="665" t="s">
        <v>14</v>
      </c>
      <c r="W28" s="666">
        <f t="shared" si="14"/>
        <v>100</v>
      </c>
      <c r="X28" s="1262"/>
      <c r="Y28" s="3450"/>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50"/>
      <c r="Q29" s="1260" t="str">
        <f t="shared" si="11"/>
        <v>成新率</v>
      </c>
      <c r="R29" s="665" t="s">
        <v>14</v>
      </c>
      <c r="S29" s="666" t="e">
        <f t="shared" si="12"/>
        <v>#N/A</v>
      </c>
      <c r="T29" s="665" t="s">
        <v>14</v>
      </c>
      <c r="U29" s="666" t="e">
        <f t="shared" si="13"/>
        <v>#N/A</v>
      </c>
      <c r="V29" s="665" t="s">
        <v>14</v>
      </c>
      <c r="W29" s="666" t="e">
        <f t="shared" si="14"/>
        <v>#N/A</v>
      </c>
      <c r="X29" s="1262"/>
      <c r="Y29" s="3450"/>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50"/>
      <c r="Q30" s="1260" t="str">
        <f t="shared" si="11"/>
        <v>物业等级</v>
      </c>
      <c r="R30" s="665" t="s">
        <v>14</v>
      </c>
      <c r="S30" s="666">
        <f t="shared" si="12"/>
        <v>100</v>
      </c>
      <c r="T30" s="665" t="s">
        <v>14</v>
      </c>
      <c r="U30" s="666">
        <f t="shared" si="13"/>
        <v>100</v>
      </c>
      <c r="V30" s="665" t="s">
        <v>14</v>
      </c>
      <c r="W30" s="666">
        <f t="shared" si="14"/>
        <v>100</v>
      </c>
      <c r="X30" s="1262"/>
      <c r="Y30" s="3450"/>
      <c r="Z30" s="1261" t="str">
        <f t="shared" si="15"/>
        <v>物业等级</v>
      </c>
      <c r="AA30" s="1261">
        <f t="shared" si="3"/>
        <v>1</v>
      </c>
      <c r="AB30" s="1261">
        <f t="shared" si="4"/>
        <v>1</v>
      </c>
      <c r="AC30" s="1261">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450"/>
      <c r="Q31" s="528" t="str">
        <f t="shared" si="11"/>
        <v>停车位面积</v>
      </c>
      <c r="R31" s="662" t="s">
        <v>14</v>
      </c>
      <c r="S31" s="663" t="e">
        <f t="shared" si="12"/>
        <v>#N/A</v>
      </c>
      <c r="T31" s="662" t="s">
        <v>14</v>
      </c>
      <c r="U31" s="663" t="e">
        <f t="shared" si="13"/>
        <v>#N/A</v>
      </c>
      <c r="V31" s="662" t="s">
        <v>14</v>
      </c>
      <c r="W31" s="663" t="e">
        <f t="shared" si="14"/>
        <v>#N/A</v>
      </c>
      <c r="X31" s="664"/>
      <c r="Y31" s="3450"/>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50" t="s">
        <v>1696</v>
      </c>
      <c r="Q32" s="1260" t="str">
        <f t="shared" si="11"/>
        <v>车位类型</v>
      </c>
      <c r="R32" s="665" t="s">
        <v>14</v>
      </c>
      <c r="S32" s="666">
        <f t="shared" si="12"/>
        <v>100</v>
      </c>
      <c r="T32" s="665" t="s">
        <v>14</v>
      </c>
      <c r="U32" s="666">
        <f t="shared" si="13"/>
        <v>100</v>
      </c>
      <c r="V32" s="665" t="s">
        <v>14</v>
      </c>
      <c r="W32" s="666">
        <f t="shared" si="14"/>
        <v>100</v>
      </c>
      <c r="X32" s="1262"/>
      <c r="Y32" s="3450"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50"/>
      <c r="Q33" s="1260" t="str">
        <f t="shared" si="11"/>
        <v>是否直接入户</v>
      </c>
      <c r="R33" s="665" t="s">
        <v>14</v>
      </c>
      <c r="S33" s="666">
        <f t="shared" si="12"/>
        <v>100</v>
      </c>
      <c r="T33" s="665" t="s">
        <v>14</v>
      </c>
      <c r="U33" s="666">
        <f t="shared" si="13"/>
        <v>100</v>
      </c>
      <c r="V33" s="665" t="s">
        <v>14</v>
      </c>
      <c r="W33" s="666">
        <f t="shared" si="14"/>
        <v>100</v>
      </c>
      <c r="X33" s="1262"/>
      <c r="Y33" s="3450"/>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50"/>
      <c r="Q34" s="1260">
        <f t="shared" si="11"/>
        <v>111</v>
      </c>
      <c r="R34" s="665" t="s">
        <v>14</v>
      </c>
      <c r="S34" s="666">
        <f t="shared" si="12"/>
        <v>100</v>
      </c>
      <c r="T34" s="665" t="s">
        <v>14</v>
      </c>
      <c r="U34" s="666">
        <f t="shared" si="13"/>
        <v>100</v>
      </c>
      <c r="V34" s="665" t="s">
        <v>14</v>
      </c>
      <c r="W34" s="666">
        <f t="shared" si="14"/>
        <v>100</v>
      </c>
      <c r="X34" s="1262"/>
      <c r="Y34" s="3450"/>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50"/>
      <c r="Q35" s="529">
        <f t="shared" si="11"/>
        <v>111</v>
      </c>
      <c r="R35" s="667" t="s">
        <v>14</v>
      </c>
      <c r="S35" s="668">
        <f t="shared" si="12"/>
        <v>100</v>
      </c>
      <c r="T35" s="667" t="s">
        <v>14</v>
      </c>
      <c r="U35" s="668">
        <f t="shared" si="13"/>
        <v>100</v>
      </c>
      <c r="V35" s="667" t="s">
        <v>14</v>
      </c>
      <c r="W35" s="668">
        <f t="shared" si="14"/>
        <v>100</v>
      </c>
      <c r="X35" s="669"/>
      <c r="Y35" s="3450"/>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50"/>
      <c r="Q36" s="1260">
        <f t="shared" si="11"/>
        <v>111</v>
      </c>
      <c r="R36" s="665" t="s">
        <v>14</v>
      </c>
      <c r="S36" s="666">
        <f t="shared" si="12"/>
        <v>100</v>
      </c>
      <c r="T36" s="665" t="s">
        <v>14</v>
      </c>
      <c r="U36" s="666">
        <f t="shared" si="13"/>
        <v>100</v>
      </c>
      <c r="V36" s="665" t="s">
        <v>14</v>
      </c>
      <c r="W36" s="666">
        <f t="shared" si="14"/>
        <v>100</v>
      </c>
      <c r="X36" s="1262"/>
      <c r="Y36" s="3450"/>
      <c r="Z36" s="1261">
        <f t="shared" si="15"/>
        <v>111</v>
      </c>
      <c r="AA36" s="1261">
        <f t="shared" si="3"/>
        <v>1</v>
      </c>
      <c r="AB36" s="1261">
        <f t="shared" si="4"/>
        <v>1</v>
      </c>
      <c r="AC36" s="1261">
        <f t="shared" si="5"/>
        <v>1</v>
      </c>
    </row>
    <row r="37" spans="1:29" ht="15">
      <c r="A37" s="414" t="s">
        <v>1844</v>
      </c>
      <c r="B37" s="1818" t="s">
        <v>3348</v>
      </c>
      <c r="C37" s="1078" t="s">
        <v>0</v>
      </c>
      <c r="D37" s="416"/>
      <c r="E37" s="417"/>
      <c r="F37" s="418"/>
      <c r="G37" s="419"/>
      <c r="H37" s="420"/>
      <c r="I37" s="417"/>
      <c r="J37" s="420"/>
      <c r="K37" s="543"/>
      <c r="L37" s="2489"/>
      <c r="M37" s="2482"/>
      <c r="N37" s="2482"/>
      <c r="O37" s="2482"/>
      <c r="P37" s="3444" t="str">
        <f>A37</f>
        <v>成交单价</v>
      </c>
      <c r="Q37" s="3444"/>
      <c r="R37" s="3439">
        <f>E37</f>
        <v>0</v>
      </c>
      <c r="S37" s="3439"/>
      <c r="T37" s="3439">
        <f>G37</f>
        <v>0</v>
      </c>
      <c r="U37" s="3439"/>
      <c r="V37" s="3439">
        <f>I37</f>
        <v>0</v>
      </c>
      <c r="W37" s="3439"/>
      <c r="X37" s="383"/>
      <c r="Y37" s="671"/>
      <c r="Z37" s="383"/>
      <c r="AA37" s="383"/>
      <c r="AB37" s="383"/>
      <c r="AC37" s="383"/>
    </row>
    <row r="38" spans="1:29" ht="15.7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44" t="str">
        <f>A38</f>
        <v>比较价值（元/平方米）</v>
      </c>
      <c r="Q38" s="3444"/>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89"/>
      <c r="M39" s="2482"/>
      <c r="N39" s="2482"/>
      <c r="O39" s="2482"/>
      <c r="P39" s="3441" t="str">
        <f>A39</f>
        <v>估价对象XX用房的比较价值（楼面单价，元/平方米）</v>
      </c>
      <c r="Q39" s="3442"/>
      <c r="R39" s="3470" t="e">
        <f>IF(F1="售价",ROUND(IF(D38="简单平均",AVERAGE(R38:W38),R38*F38+T38*H38+V38*J38),0),ROUND(IF(D38="简单平均",AVERAGE(R38:V38),R38*F38+T38*H38+V38*J38),1))</f>
        <v>#DIV/0!</v>
      </c>
      <c r="S39" s="3470"/>
      <c r="T39" s="3470"/>
      <c r="U39" s="3470"/>
      <c r="V39" s="3470"/>
      <c r="W39" s="3470"/>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4" t="s">
        <v>1850</v>
      </c>
      <c r="B47" s="858"/>
      <c r="C47" s="883"/>
      <c r="D47" s="883"/>
      <c r="E47" s="883"/>
      <c r="F47" s="1085"/>
      <c r="G47" s="1085"/>
      <c r="H47" s="883"/>
      <c r="I47" s="883"/>
      <c r="J47" s="883"/>
      <c r="K47" s="884"/>
      <c r="L47" s="885"/>
      <c r="M47" s="883"/>
      <c r="N47" s="2532"/>
      <c r="O47" s="2532"/>
      <c r="P47" s="2521"/>
      <c r="Q47" s="2503"/>
      <c r="R47" s="2482"/>
      <c r="S47" s="2482"/>
      <c r="T47" s="2482"/>
      <c r="U47" s="2482"/>
      <c r="V47" s="2482"/>
      <c r="W47" s="2482"/>
      <c r="X47" s="2482"/>
      <c r="Y47" s="2482"/>
      <c r="Z47" s="2482"/>
      <c r="AA47" s="2482"/>
      <c r="AB47" s="2482"/>
      <c r="AC47" s="2482"/>
    </row>
    <row r="48" spans="1:29" s="440" customFormat="1" ht="15">
      <c r="A48" s="438" t="s">
        <v>1851</v>
      </c>
      <c r="B48" s="439"/>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2"/>
      <c r="Q48" s="2505"/>
      <c r="R48" s="2505"/>
      <c r="S48" s="2505"/>
      <c r="T48" s="2505"/>
      <c r="U48" s="2505"/>
      <c r="V48" s="2505"/>
      <c r="W48" s="2505"/>
      <c r="X48" s="2505"/>
      <c r="Y48" s="2505"/>
      <c r="Z48" s="2505"/>
      <c r="AA48" s="2505"/>
      <c r="AB48" s="2505"/>
      <c r="AC48" s="2505"/>
    </row>
    <row r="49" spans="1:29" s="101" customFormat="1" ht="15">
      <c r="A49" s="441"/>
      <c r="B49" s="442"/>
      <c r="C49" s="1094">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1" customFormat="1" ht="15.7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1" customFormat="1" ht="15">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1" customFormat="1" ht="15.75"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5.75"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7.75"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5.75"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5.75"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5.75"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5.75"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5.75"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5.75"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5.75"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7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75" thickTop="1">
      <c r="A67" s="365"/>
      <c r="B67" s="475" t="s">
        <v>1813</v>
      </c>
      <c r="C67" s="579" t="s">
        <v>1799</v>
      </c>
      <c r="D67" s="579" t="s">
        <v>1800</v>
      </c>
      <c r="E67" s="579" t="s">
        <v>1801</v>
      </c>
      <c r="F67" s="579" t="s">
        <v>1802</v>
      </c>
      <c r="G67" s="579" t="s">
        <v>1803</v>
      </c>
      <c r="H67" s="468"/>
      <c r="I67" s="468"/>
      <c r="J67" s="468"/>
      <c r="K67" s="468"/>
      <c r="L67" s="468"/>
      <c r="M67" s="1060"/>
      <c r="N67" s="2517"/>
      <c r="O67" s="2517"/>
      <c r="P67" s="2525"/>
      <c r="Q67" s="2503"/>
      <c r="R67" s="2482"/>
      <c r="S67" s="2482"/>
      <c r="T67" s="2482"/>
      <c r="U67" s="2482"/>
      <c r="V67" s="2482"/>
      <c r="W67" s="2482"/>
      <c r="X67" s="2482"/>
      <c r="Y67" s="2482"/>
      <c r="Z67" s="2482"/>
      <c r="AA67" s="2482"/>
      <c r="AB67" s="2482"/>
      <c r="AC67" s="2482"/>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7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7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1" customFormat="1" ht="15.75"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1" customFormat="1" ht="15.75"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1" customFormat="1" ht="15.75"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1" customFormat="1" ht="15.75"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5.75"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5.75"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7.75"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5.75"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5.75"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5"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5.75"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5"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5.75"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5"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5.75"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3329</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SUMIF(46:46,YEAR(E7)&amp;"-"&amp;MONTH(E7),47:47)</f>
        <v>0</v>
      </c>
      <c r="G7" s="1819"/>
      <c r="H7" s="353">
        <f>SUMIF(46:46,YEAR(G7)&amp;"-"&amp;MONTH(G7),47:47)</f>
        <v>0</v>
      </c>
      <c r="I7" s="354"/>
      <c r="J7" s="353">
        <f>SUMIF(46:46,YEAR(I7)&amp;"-"&amp;MONTH(I7),47:47)</f>
        <v>0</v>
      </c>
      <c r="K7" s="38"/>
      <c r="L7" s="2483"/>
      <c r="M7" s="2435"/>
      <c r="N7" s="2435"/>
      <c r="O7" s="2435"/>
      <c r="P7" s="3412" t="s">
        <v>1680</v>
      </c>
      <c r="Q7" s="3440"/>
      <c r="R7" s="662" t="s">
        <v>14</v>
      </c>
      <c r="S7" s="663">
        <f t="shared" ref="S7:S14" si="0">F7</f>
        <v>0</v>
      </c>
      <c r="T7" s="662" t="s">
        <v>14</v>
      </c>
      <c r="U7" s="663">
        <f t="shared" ref="U7:U14" si="1">H7</f>
        <v>0</v>
      </c>
      <c r="V7" s="662" t="s">
        <v>14</v>
      </c>
      <c r="W7" s="663">
        <f t="shared" ref="W7:W14" si="2">J7</f>
        <v>0</v>
      </c>
      <c r="X7" s="664"/>
      <c r="Y7" s="3412" t="s">
        <v>1680</v>
      </c>
      <c r="Z7" s="3413"/>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412" t="s">
        <v>1683</v>
      </c>
      <c r="Q8" s="3413"/>
      <c r="R8" s="662" t="s">
        <v>14</v>
      </c>
      <c r="S8" s="663">
        <f t="shared" si="0"/>
        <v>100</v>
      </c>
      <c r="T8" s="662" t="s">
        <v>14</v>
      </c>
      <c r="U8" s="663">
        <f t="shared" si="1"/>
        <v>100</v>
      </c>
      <c r="V8" s="662" t="s">
        <v>14</v>
      </c>
      <c r="W8" s="663">
        <f t="shared" si="2"/>
        <v>100</v>
      </c>
      <c r="X8" s="664"/>
      <c r="Y8" s="3412" t="s">
        <v>1683</v>
      </c>
      <c r="Z8" s="3413"/>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444" t="s">
        <v>1686</v>
      </c>
      <c r="Q9" s="528" t="str">
        <f t="shared" ref="Q9:Q14" si="6">B9</f>
        <v>用途</v>
      </c>
      <c r="R9" s="662" t="s">
        <v>14</v>
      </c>
      <c r="S9" s="663">
        <f t="shared" si="0"/>
        <v>100</v>
      </c>
      <c r="T9" s="662" t="s">
        <v>14</v>
      </c>
      <c r="U9" s="663">
        <f t="shared" si="1"/>
        <v>100</v>
      </c>
      <c r="V9" s="662" t="s">
        <v>14</v>
      </c>
      <c r="W9" s="663">
        <f t="shared" si="2"/>
        <v>100</v>
      </c>
      <c r="X9" s="664"/>
      <c r="Y9" s="3337" t="s">
        <v>1687</v>
      </c>
      <c r="Z9" s="50" t="str">
        <f t="shared" ref="Z9:Z14" si="7">Q9</f>
        <v>用途</v>
      </c>
      <c r="AA9" s="50">
        <f t="shared" si="3"/>
        <v>1</v>
      </c>
      <c r="AB9" s="50">
        <f t="shared" si="4"/>
        <v>1</v>
      </c>
      <c r="AC9" s="50">
        <f t="shared" si="5"/>
        <v>1</v>
      </c>
    </row>
    <row r="10" spans="1:29" s="364" customFormat="1" ht="27">
      <c r="A10" s="361"/>
      <c r="B10" s="362" t="s">
        <v>1688</v>
      </c>
      <c r="C10" s="3127"/>
      <c r="D10" s="117">
        <v>100</v>
      </c>
      <c r="E10" s="3127"/>
      <c r="F10" s="362">
        <f>SUMIF(53:53,E10,54:54)-SUMIF(53:53,C10,54:54)+100</f>
        <v>100</v>
      </c>
      <c r="G10" s="3127"/>
      <c r="H10" s="117">
        <f>SUMIF(53:53,G10,54:54)-SUMIF(53:53,C10,54:54)+100</f>
        <v>100</v>
      </c>
      <c r="I10" s="3127"/>
      <c r="J10" s="117">
        <f>SUMIF(53:53,I10,54:54)-SUMIF(53:53,C10,54:54)+100</f>
        <v>100</v>
      </c>
      <c r="K10" s="38"/>
      <c r="L10" s="2484"/>
      <c r="M10" s="2485"/>
      <c r="N10" s="2485"/>
      <c r="O10" s="2536"/>
      <c r="P10" s="3444"/>
      <c r="Q10" s="528"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444"/>
      <c r="Q11" s="528">
        <f t="shared" si="6"/>
        <v>111</v>
      </c>
      <c r="R11" s="662" t="s">
        <v>14</v>
      </c>
      <c r="S11" s="663">
        <f t="shared" si="0"/>
        <v>100</v>
      </c>
      <c r="T11" s="662" t="s">
        <v>14</v>
      </c>
      <c r="U11" s="663">
        <f t="shared" si="1"/>
        <v>100</v>
      </c>
      <c r="V11" s="662" t="s">
        <v>14</v>
      </c>
      <c r="W11" s="663">
        <f t="shared" si="2"/>
        <v>100</v>
      </c>
      <c r="X11" s="664"/>
      <c r="Y11" s="3337"/>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444"/>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7"/>
      <c r="M13" s="2482"/>
      <c r="N13" s="2482"/>
      <c r="O13" s="2537"/>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
      <c r="A14" s="377" t="s">
        <v>1690</v>
      </c>
      <c r="B14" s="58" t="s">
        <v>1833</v>
      </c>
      <c r="C14" s="1816" t="str">
        <f>IF(B1="工业",估价对象房地状况!G4,估价对象房地状况!C6)</f>
        <v>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445" t="s">
        <v>1691</v>
      </c>
      <c r="Q14" s="1260" t="str">
        <f t="shared" si="6"/>
        <v>交通便捷度</v>
      </c>
      <c r="R14" s="665" t="s">
        <v>14</v>
      </c>
      <c r="S14" s="666">
        <f t="shared" si="0"/>
        <v>100</v>
      </c>
      <c r="T14" s="665" t="s">
        <v>14</v>
      </c>
      <c r="U14" s="666">
        <f t="shared" si="1"/>
        <v>100</v>
      </c>
      <c r="V14" s="665" t="s">
        <v>14</v>
      </c>
      <c r="W14" s="666">
        <f t="shared" si="2"/>
        <v>100</v>
      </c>
      <c r="X14" s="1262"/>
      <c r="Y14" s="3445"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7"/>
      <c r="M15" s="2482"/>
      <c r="N15" s="2482"/>
      <c r="O15" s="2537"/>
      <c r="P15" s="3446"/>
      <c r="Q15" s="1260"/>
      <c r="R15" s="665"/>
      <c r="S15" s="666"/>
      <c r="T15" s="665"/>
      <c r="U15" s="666"/>
      <c r="V15" s="665"/>
      <c r="W15" s="666"/>
      <c r="X15" s="1262"/>
      <c r="Y15" s="3446"/>
      <c r="Z15" s="1261"/>
      <c r="AA15" s="1261">
        <v>1</v>
      </c>
      <c r="AB15" s="1261">
        <v>1</v>
      </c>
      <c r="AC15" s="1261">
        <v>1</v>
      </c>
    </row>
    <row r="16" spans="1:29" ht="15">
      <c r="A16" s="365"/>
      <c r="B16" s="388" t="s">
        <v>1812</v>
      </c>
      <c r="C16" s="1751" t="str">
        <f>IF(B1="工业",估价对象房地状况!G5,估价对象房地状况!C7)</f>
        <v>较好</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46"/>
      <c r="Q16" s="1260" t="str">
        <f>B16</f>
        <v>公共配套设施</v>
      </c>
      <c r="R16" s="665" t="s">
        <v>14</v>
      </c>
      <c r="S16" s="666">
        <f>F16</f>
        <v>100</v>
      </c>
      <c r="T16" s="665" t="s">
        <v>14</v>
      </c>
      <c r="U16" s="666">
        <f>H16</f>
        <v>100</v>
      </c>
      <c r="V16" s="665" t="s">
        <v>14</v>
      </c>
      <c r="W16" s="666">
        <f>J16</f>
        <v>100</v>
      </c>
      <c r="X16" s="1262"/>
      <c r="Y16" s="3446"/>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7"/>
      <c r="M17" s="2482"/>
      <c r="N17" s="2482"/>
      <c r="O17" s="2537"/>
      <c r="P17" s="3446"/>
      <c r="Q17" s="1260"/>
      <c r="R17" s="665"/>
      <c r="S17" s="666"/>
      <c r="T17" s="665"/>
      <c r="U17" s="666"/>
      <c r="V17" s="665"/>
      <c r="W17" s="666"/>
      <c r="X17" s="1262"/>
      <c r="Y17" s="3446"/>
      <c r="Z17" s="1261"/>
      <c r="AA17" s="1261">
        <v>1</v>
      </c>
      <c r="AB17" s="1261">
        <v>1</v>
      </c>
      <c r="AC17" s="1261">
        <v>1</v>
      </c>
    </row>
    <row r="18" spans="1:29" ht="15">
      <c r="A18" s="365"/>
      <c r="B18" s="584" t="s">
        <v>1813</v>
      </c>
      <c r="C18" s="1751"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46"/>
      <c r="Q18" s="1260" t="str">
        <f>B18</f>
        <v>基础设施水平</v>
      </c>
      <c r="R18" s="665" t="s">
        <v>14</v>
      </c>
      <c r="S18" s="666">
        <f>F18</f>
        <v>100</v>
      </c>
      <c r="T18" s="665" t="s">
        <v>14</v>
      </c>
      <c r="U18" s="666">
        <f>H18</f>
        <v>100</v>
      </c>
      <c r="V18" s="665" t="s">
        <v>14</v>
      </c>
      <c r="W18" s="666">
        <f>J18</f>
        <v>100</v>
      </c>
      <c r="X18" s="1262"/>
      <c r="Y18" s="3446"/>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87"/>
      <c r="M19" s="2482"/>
      <c r="N19" s="2482"/>
      <c r="O19" s="2537"/>
      <c r="P19" s="3446"/>
      <c r="Q19" s="1260"/>
      <c r="R19" s="665"/>
      <c r="S19" s="666"/>
      <c r="T19" s="665"/>
      <c r="U19" s="666"/>
      <c r="V19" s="665"/>
      <c r="W19" s="666"/>
      <c r="X19" s="1262"/>
      <c r="Y19" s="3446"/>
      <c r="Z19" s="1261"/>
      <c r="AA19" s="1261">
        <v>1</v>
      </c>
      <c r="AB19" s="1261">
        <v>1</v>
      </c>
      <c r="AC19" s="1261">
        <v>1</v>
      </c>
    </row>
    <row r="20" spans="1:29" ht="42.75">
      <c r="A20" s="365"/>
      <c r="B20" s="388" t="s">
        <v>1834</v>
      </c>
      <c r="C20" s="1751" t="str">
        <f>IF(B1="工业",估价对象房地状况!G7,估价对象房地状况!C9)</f>
        <v>博大公园、亦庄新城滨河公园，一般</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46"/>
      <c r="Q20" s="1260" t="str">
        <f>B20</f>
        <v>自然及人文环境</v>
      </c>
      <c r="R20" s="665" t="s">
        <v>14</v>
      </c>
      <c r="S20" s="666">
        <f>F20</f>
        <v>100</v>
      </c>
      <c r="T20" s="665" t="s">
        <v>14</v>
      </c>
      <c r="U20" s="666">
        <f>H20</f>
        <v>100</v>
      </c>
      <c r="V20" s="665" t="s">
        <v>14</v>
      </c>
      <c r="W20" s="666">
        <f>J20</f>
        <v>100</v>
      </c>
      <c r="X20" s="1262"/>
      <c r="Y20" s="3446"/>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7"/>
      <c r="M21" s="2482"/>
      <c r="N21" s="2482"/>
      <c r="O21" s="2537"/>
      <c r="P21" s="3446"/>
      <c r="Q21" s="1260"/>
      <c r="R21" s="665"/>
      <c r="S21" s="666"/>
      <c r="T21" s="665"/>
      <c r="U21" s="666"/>
      <c r="V21" s="665"/>
      <c r="W21" s="666"/>
      <c r="X21" s="1262"/>
      <c r="Y21" s="3446"/>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46"/>
      <c r="Q22" s="1260" t="str">
        <f>B22</f>
        <v>楼层</v>
      </c>
      <c r="R22" s="665" t="s">
        <v>14</v>
      </c>
      <c r="S22" s="666">
        <f>F22</f>
        <v>100</v>
      </c>
      <c r="T22" s="665" t="s">
        <v>14</v>
      </c>
      <c r="U22" s="666">
        <f>H22</f>
        <v>100</v>
      </c>
      <c r="V22" s="665" t="s">
        <v>14</v>
      </c>
      <c r="W22" s="666">
        <f>J22</f>
        <v>100</v>
      </c>
      <c r="X22" s="1262"/>
      <c r="Y22" s="3446"/>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46"/>
      <c r="Q23" s="1260">
        <f>B23</f>
        <v>111</v>
      </c>
      <c r="R23" s="665" t="s">
        <v>14</v>
      </c>
      <c r="S23" s="666">
        <f>F23</f>
        <v>100</v>
      </c>
      <c r="T23" s="665" t="s">
        <v>14</v>
      </c>
      <c r="U23" s="666">
        <f>H23</f>
        <v>100</v>
      </c>
      <c r="V23" s="665" t="s">
        <v>14</v>
      </c>
      <c r="W23" s="666">
        <f>J23</f>
        <v>100</v>
      </c>
      <c r="X23" s="1262"/>
      <c r="Y23" s="3446"/>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46"/>
      <c r="Q24" s="1260">
        <f t="shared" ref="Q24:Q34" si="11">B24</f>
        <v>111</v>
      </c>
      <c r="R24" s="665" t="s">
        <v>14</v>
      </c>
      <c r="S24" s="666">
        <f>F24</f>
        <v>100</v>
      </c>
      <c r="T24" s="665" t="s">
        <v>14</v>
      </c>
      <c r="U24" s="666">
        <f>H24</f>
        <v>100</v>
      </c>
      <c r="V24" s="665" t="s">
        <v>14</v>
      </c>
      <c r="W24" s="666">
        <f>J24</f>
        <v>100</v>
      </c>
      <c r="X24" s="1262"/>
      <c r="Y24" s="3446"/>
      <c r="Z24" s="1261">
        <f>Q24</f>
        <v>111</v>
      </c>
      <c r="AA24" s="1261">
        <f t="shared" si="3"/>
        <v>1</v>
      </c>
      <c r="AB24" s="1261">
        <f t="shared" si="4"/>
        <v>1</v>
      </c>
      <c r="AC24" s="1261">
        <f t="shared" si="5"/>
        <v>1</v>
      </c>
    </row>
    <row r="25" spans="1:29" s="101"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3"/>
      <c r="M25" s="2435"/>
      <c r="N25" s="2435"/>
      <c r="O25" s="2535"/>
      <c r="P25" s="3446"/>
      <c r="Q25" s="528">
        <f t="shared" si="11"/>
        <v>111</v>
      </c>
      <c r="R25" s="662" t="s">
        <v>14</v>
      </c>
      <c r="S25" s="663">
        <f>F25</f>
        <v>100</v>
      </c>
      <c r="T25" s="662" t="s">
        <v>14</v>
      </c>
      <c r="U25" s="663">
        <f>H25</f>
        <v>100</v>
      </c>
      <c r="V25" s="662" t="s">
        <v>14</v>
      </c>
      <c r="W25" s="663">
        <f>J25</f>
        <v>100</v>
      </c>
      <c r="X25" s="664"/>
      <c r="Y25" s="3446"/>
      <c r="Z25" s="50">
        <f>Q25</f>
        <v>111</v>
      </c>
      <c r="AA25" s="1261">
        <f>D25/F25</f>
        <v>1</v>
      </c>
      <c r="AB25" s="1261">
        <f>D25/H25</f>
        <v>1</v>
      </c>
      <c r="AC25" s="1261">
        <f>D25/J25</f>
        <v>1</v>
      </c>
    </row>
    <row r="26" spans="1:29" ht="28.5">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7"/>
      <c r="M26" s="2482"/>
      <c r="N26" s="2482"/>
      <c r="O26" s="2537"/>
      <c r="P26" s="3469"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50"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50"/>
      <c r="Q27" s="529" t="str">
        <f t="shared" si="11"/>
        <v>成新率</v>
      </c>
      <c r="R27" s="667" t="s">
        <v>14</v>
      </c>
      <c r="S27" s="668" t="e">
        <f t="shared" si="12"/>
        <v>#N/A</v>
      </c>
      <c r="T27" s="667" t="s">
        <v>14</v>
      </c>
      <c r="U27" s="668" t="e">
        <f t="shared" si="13"/>
        <v>#N/A</v>
      </c>
      <c r="V27" s="667" t="s">
        <v>14</v>
      </c>
      <c r="W27" s="668" t="e">
        <f t="shared" si="14"/>
        <v>#N/A</v>
      </c>
      <c r="X27" s="669"/>
      <c r="Y27" s="3450"/>
      <c r="Z27" s="670"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50"/>
      <c r="Q28" s="1260" t="str">
        <f t="shared" si="11"/>
        <v>物业等级</v>
      </c>
      <c r="R28" s="665" t="s">
        <v>14</v>
      </c>
      <c r="S28" s="666">
        <f t="shared" si="12"/>
        <v>100</v>
      </c>
      <c r="T28" s="665" t="s">
        <v>14</v>
      </c>
      <c r="U28" s="666">
        <f t="shared" si="13"/>
        <v>100</v>
      </c>
      <c r="V28" s="665" t="s">
        <v>14</v>
      </c>
      <c r="W28" s="666">
        <f t="shared" si="14"/>
        <v>100</v>
      </c>
      <c r="X28" s="1262"/>
      <c r="Y28" s="3450"/>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50"/>
      <c r="Q29" s="1260" t="str">
        <f t="shared" si="11"/>
        <v>有无电梯</v>
      </c>
      <c r="R29" s="665" t="s">
        <v>14</v>
      </c>
      <c r="S29" s="666">
        <f t="shared" si="12"/>
        <v>100</v>
      </c>
      <c r="T29" s="665" t="s">
        <v>14</v>
      </c>
      <c r="U29" s="666">
        <f t="shared" si="13"/>
        <v>100</v>
      </c>
      <c r="V29" s="665" t="s">
        <v>14</v>
      </c>
      <c r="W29" s="666">
        <f t="shared" si="14"/>
        <v>100</v>
      </c>
      <c r="X29" s="1262"/>
      <c r="Y29" s="3450"/>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50"/>
      <c r="Q30" s="1260" t="str">
        <f t="shared" si="11"/>
        <v>建筑面积</v>
      </c>
      <c r="R30" s="665" t="s">
        <v>14</v>
      </c>
      <c r="S30" s="666" t="e">
        <f t="shared" si="12"/>
        <v>#N/A</v>
      </c>
      <c r="T30" s="665" t="s">
        <v>14</v>
      </c>
      <c r="U30" s="666" t="e">
        <f t="shared" si="13"/>
        <v>#N/A</v>
      </c>
      <c r="V30" s="665" t="s">
        <v>14</v>
      </c>
      <c r="W30" s="666" t="e">
        <f t="shared" si="14"/>
        <v>#N/A</v>
      </c>
      <c r="X30" s="1262"/>
      <c r="Y30" s="3450"/>
      <c r="Z30" s="1261" t="str">
        <f t="shared" si="15"/>
        <v>建筑面积</v>
      </c>
      <c r="AA30" s="1261" t="e">
        <f t="shared" si="3"/>
        <v>#N/A</v>
      </c>
      <c r="AB30" s="1261" t="e">
        <f t="shared" si="4"/>
        <v>#N/A</v>
      </c>
      <c r="AC30" s="1261"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450"/>
      <c r="Q31" s="528" t="str">
        <f t="shared" si="11"/>
        <v>是否封闭</v>
      </c>
      <c r="R31" s="662" t="s">
        <v>14</v>
      </c>
      <c r="S31" s="663">
        <f t="shared" si="12"/>
        <v>100</v>
      </c>
      <c r="T31" s="662" t="s">
        <v>14</v>
      </c>
      <c r="U31" s="663">
        <f t="shared" si="13"/>
        <v>100</v>
      </c>
      <c r="V31" s="662" t="s">
        <v>14</v>
      </c>
      <c r="W31" s="663">
        <f t="shared" si="14"/>
        <v>100</v>
      </c>
      <c r="X31" s="664"/>
      <c r="Y31" s="3450"/>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50" t="s">
        <v>1696</v>
      </c>
      <c r="Q32" s="1260">
        <f t="shared" si="11"/>
        <v>111</v>
      </c>
      <c r="R32" s="665" t="s">
        <v>14</v>
      </c>
      <c r="S32" s="666">
        <f t="shared" si="12"/>
        <v>100</v>
      </c>
      <c r="T32" s="665" t="s">
        <v>14</v>
      </c>
      <c r="U32" s="666">
        <f t="shared" si="13"/>
        <v>100</v>
      </c>
      <c r="V32" s="665" t="s">
        <v>14</v>
      </c>
      <c r="W32" s="666">
        <f t="shared" si="14"/>
        <v>100</v>
      </c>
      <c r="X32" s="1262"/>
      <c r="Y32" s="3450"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50"/>
      <c r="Q33" s="1260">
        <f t="shared" si="11"/>
        <v>111</v>
      </c>
      <c r="R33" s="665" t="s">
        <v>14</v>
      </c>
      <c r="S33" s="666">
        <f t="shared" si="12"/>
        <v>100</v>
      </c>
      <c r="T33" s="665" t="s">
        <v>14</v>
      </c>
      <c r="U33" s="666">
        <f t="shared" si="13"/>
        <v>100</v>
      </c>
      <c r="V33" s="665" t="s">
        <v>14</v>
      </c>
      <c r="W33" s="666">
        <f t="shared" si="14"/>
        <v>100</v>
      </c>
      <c r="X33" s="1262"/>
      <c r="Y33" s="3450"/>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7"/>
      <c r="M34" s="2482"/>
      <c r="N34" s="2482"/>
      <c r="O34" s="2537"/>
      <c r="P34" s="3450"/>
      <c r="Q34" s="1260">
        <f t="shared" si="11"/>
        <v>111</v>
      </c>
      <c r="R34" s="665" t="s">
        <v>14</v>
      </c>
      <c r="S34" s="666">
        <f t="shared" si="12"/>
        <v>100</v>
      </c>
      <c r="T34" s="665" t="s">
        <v>14</v>
      </c>
      <c r="U34" s="666">
        <f t="shared" si="13"/>
        <v>100</v>
      </c>
      <c r="V34" s="665" t="s">
        <v>14</v>
      </c>
      <c r="W34" s="666">
        <f t="shared" si="14"/>
        <v>100</v>
      </c>
      <c r="X34" s="1262"/>
      <c r="Y34" s="3450"/>
      <c r="Z34" s="1261">
        <f t="shared" si="15"/>
        <v>111</v>
      </c>
      <c r="AA34" s="1261">
        <f t="shared" si="3"/>
        <v>1</v>
      </c>
      <c r="AB34" s="1261">
        <f t="shared" si="4"/>
        <v>1</v>
      </c>
      <c r="AC34" s="1261">
        <f t="shared" si="5"/>
        <v>1</v>
      </c>
    </row>
    <row r="35" spans="1:30" ht="15">
      <c r="A35" s="414" t="s">
        <v>1708</v>
      </c>
      <c r="B35" s="415"/>
      <c r="C35" s="1078" t="s">
        <v>0</v>
      </c>
      <c r="D35" s="416"/>
      <c r="E35" s="417"/>
      <c r="F35" s="418"/>
      <c r="G35" s="419"/>
      <c r="H35" s="420"/>
      <c r="I35" s="417"/>
      <c r="J35" s="420"/>
      <c r="K35" s="672"/>
      <c r="L35" s="2489"/>
      <c r="M35" s="2482"/>
      <c r="N35" s="2482"/>
      <c r="O35" s="2482"/>
      <c r="P35" s="3444" t="str">
        <f>A35</f>
        <v>成交单价（元/平方米）</v>
      </c>
      <c r="Q35" s="3444"/>
      <c r="R35" s="3439">
        <f>E35</f>
        <v>0</v>
      </c>
      <c r="S35" s="3439"/>
      <c r="T35" s="3439">
        <f>G35</f>
        <v>0</v>
      </c>
      <c r="U35" s="3439"/>
      <c r="V35" s="3439">
        <f>I35</f>
        <v>0</v>
      </c>
      <c r="W35" s="3439"/>
      <c r="X35" s="383"/>
      <c r="Y35" s="671"/>
      <c r="Z35" s="383"/>
      <c r="AA35" s="383"/>
      <c r="AB35" s="383"/>
      <c r="AC35" s="383"/>
    </row>
    <row r="36" spans="1:30" ht="15.75" thickBot="1">
      <c r="A36" s="421" t="s">
        <v>1793</v>
      </c>
      <c r="B36" s="422"/>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44" t="str">
        <f>A36</f>
        <v>比较价值（元/平方米）</v>
      </c>
      <c r="Q36" s="3444"/>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89"/>
      <c r="M37" s="2482"/>
      <c r="N37" s="2482"/>
      <c r="O37" s="2482"/>
      <c r="P37" s="3441" t="str">
        <f>A37</f>
        <v>估价对象XX用房的比较价值（楼面单价，元/平方米）</v>
      </c>
      <c r="Q37" s="3442"/>
      <c r="R37" s="3470" t="e">
        <f>IF(F1="售价",ROUND(IF(D36="简单平均",AVERAGE(R36:W36),R36*F36+T36*H36+V36*J36),0),ROUND(IF(D36="简单平均",AVERAGE(R36:V36),R36*F36+T36*H36+V36*J36),1))</f>
        <v>#DIV/0!</v>
      </c>
      <c r="S37" s="3470"/>
      <c r="T37" s="3470"/>
      <c r="U37" s="3470"/>
      <c r="V37" s="3470"/>
      <c r="W37" s="3470"/>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5">
      <c r="A46" s="438" t="s">
        <v>1679</v>
      </c>
      <c r="B46" s="439"/>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5"/>
      <c r="Q46" s="2505"/>
      <c r="R46" s="2505"/>
      <c r="S46" s="2505"/>
      <c r="T46" s="2505"/>
      <c r="U46" s="2505"/>
      <c r="V46" s="2505"/>
      <c r="W46" s="2505"/>
      <c r="X46" s="2505"/>
      <c r="Y46" s="2505"/>
      <c r="Z46" s="2505"/>
      <c r="AA46" s="2505"/>
      <c r="AB46" s="2505"/>
      <c r="AC46" s="2505"/>
      <c r="AD46" s="2505"/>
    </row>
    <row r="47" spans="1:30" s="101" customFormat="1" ht="15">
      <c r="A47" s="441"/>
      <c r="B47" s="442"/>
      <c r="C47" s="1099">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1" customFormat="1" ht="15.7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1" customFormat="1" ht="15">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1" customFormat="1" ht="15.75"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5.75"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7.75"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5.75"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5.75"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5.75"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5.75"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5.75"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5.75"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5.75"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7.75"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75" thickTop="1">
      <c r="A65" s="365"/>
      <c r="B65" s="475" t="s">
        <v>1813</v>
      </c>
      <c r="C65" s="579" t="s">
        <v>1799</v>
      </c>
      <c r="D65" s="579" t="s">
        <v>1800</v>
      </c>
      <c r="E65" s="579" t="s">
        <v>1801</v>
      </c>
      <c r="F65" s="579" t="s">
        <v>1802</v>
      </c>
      <c r="G65" s="579" t="s">
        <v>1803</v>
      </c>
      <c r="H65" s="468"/>
      <c r="I65" s="468"/>
      <c r="J65" s="468"/>
      <c r="K65" s="468"/>
      <c r="L65" s="468"/>
      <c r="M65" s="1060"/>
      <c r="N65" s="2517"/>
      <c r="O65" s="2517"/>
      <c r="P65" s="2515"/>
      <c r="Q65" s="2503"/>
      <c r="R65" s="2482"/>
      <c r="S65" s="2482"/>
      <c r="T65" s="2482"/>
      <c r="U65" s="2482"/>
      <c r="V65" s="2482"/>
      <c r="W65" s="2482"/>
      <c r="X65" s="2482"/>
      <c r="Y65" s="2482"/>
      <c r="Z65" s="2482"/>
      <c r="AA65" s="2482"/>
      <c r="AB65" s="2482"/>
      <c r="AC65" s="2482"/>
      <c r="AD65" s="2482"/>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7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7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5.75"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1" customFormat="1" ht="15.75"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1" customFormat="1" ht="15.75"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1" customFormat="1" ht="15.75"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5.75"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5.75"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ht="15">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5.75"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5.75"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5"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5.75"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5"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5.75"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5"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5.75"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1"/>
      <c r="D2" s="851"/>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22" t="s">
        <v>1677</v>
      </c>
      <c r="D6" s="3423"/>
      <c r="E6" s="3424" t="s">
        <v>1677</v>
      </c>
      <c r="F6" s="3425"/>
      <c r="G6" s="3422" t="s">
        <v>1677</v>
      </c>
      <c r="H6" s="3423"/>
      <c r="I6" s="3422" t="s">
        <v>1677</v>
      </c>
      <c r="J6" s="3423"/>
      <c r="K6" s="535"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SUMIF(69:69,YEAR(E7)&amp;"-"&amp;INT((MONTH(E7)+2)/3),70:70)</f>
        <v>0</v>
      </c>
      <c r="G7" s="1819"/>
      <c r="H7" s="353">
        <f>SUMIF(69:69,YEAR(G7)&amp;"-"&amp;INT((MONTH(G7)+2)/3),70:70)</f>
        <v>0</v>
      </c>
      <c r="I7" s="1819"/>
      <c r="J7" s="353">
        <f>SUMIF(69:69,YEAR(I7)&amp;"-"&amp;INT((MONTH(I7)+2)/3),70:70)</f>
        <v>0</v>
      </c>
      <c r="K7" s="38"/>
      <c r="L7" s="2483"/>
      <c r="M7" s="2435"/>
      <c r="N7" s="2435"/>
      <c r="O7" s="2435"/>
      <c r="P7" s="3412"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5"/>
      <c r="N8" s="2435"/>
      <c r="O8" s="2435"/>
      <c r="P8" s="3412" t="s">
        <v>1683</v>
      </c>
      <c r="Q8" s="3413"/>
      <c r="R8" s="662" t="s">
        <v>14</v>
      </c>
      <c r="S8" s="663">
        <f t="shared" si="0"/>
        <v>0</v>
      </c>
      <c r="T8" s="662" t="s">
        <v>14</v>
      </c>
      <c r="U8" s="663">
        <f t="shared" si="1"/>
        <v>0</v>
      </c>
      <c r="V8" s="662" t="s">
        <v>14</v>
      </c>
      <c r="W8" s="663">
        <f t="shared" si="2"/>
        <v>0</v>
      </c>
      <c r="X8" s="664"/>
      <c r="Y8" s="3412" t="s">
        <v>1683</v>
      </c>
      <c r="Z8" s="3413"/>
      <c r="AA8" s="50" t="e">
        <f t="shared" ref="AA8:AA45" si="3">D8/F8</f>
        <v>#DIV/0!</v>
      </c>
      <c r="AB8" s="50" t="e">
        <f t="shared" ref="AB8:AB45" si="4">D8/H8</f>
        <v>#DIV/0!</v>
      </c>
      <c r="AC8" s="50" t="e">
        <f t="shared" ref="AC8:AC45" si="5">D8/J8</f>
        <v>#DIV/0!</v>
      </c>
    </row>
    <row r="9" spans="1:29" s="101" customFormat="1">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5"/>
      <c r="P9" s="3444"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121</v>
      </c>
      <c r="G10" s="400"/>
      <c r="H10" s="117">
        <f>ROUND(100/'数据-取费表'!G16,0)</f>
        <v>121</v>
      </c>
      <c r="I10" s="400"/>
      <c r="J10" s="117">
        <f>ROUND(100/'数据-取费表'!G16,0)</f>
        <v>121</v>
      </c>
      <c r="K10" s="590"/>
      <c r="L10" s="2484"/>
      <c r="M10" s="2485"/>
      <c r="N10" s="2485"/>
      <c r="O10" s="2536"/>
      <c r="P10" s="3444"/>
      <c r="Q10" s="528" t="str">
        <f t="shared" si="6"/>
        <v>土地使用年限（年）</v>
      </c>
      <c r="R10" s="662" t="s">
        <v>14</v>
      </c>
      <c r="S10" s="663">
        <f t="shared" si="0"/>
        <v>121</v>
      </c>
      <c r="T10" s="662" t="s">
        <v>14</v>
      </c>
      <c r="U10" s="663">
        <f t="shared" si="1"/>
        <v>121</v>
      </c>
      <c r="V10" s="662" t="s">
        <v>14</v>
      </c>
      <c r="W10" s="663">
        <f t="shared" si="2"/>
        <v>121</v>
      </c>
      <c r="X10" s="664"/>
      <c r="Y10" s="3337"/>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6"/>
      <c r="M11" s="2482"/>
      <c r="N11" s="2482"/>
      <c r="O11" s="2537"/>
      <c r="P11" s="3444"/>
      <c r="Q11" s="528" t="str">
        <f t="shared" si="6"/>
        <v>容积率</v>
      </c>
      <c r="R11" s="662" t="s">
        <v>14</v>
      </c>
      <c r="S11" s="663" t="e">
        <f t="shared" si="0"/>
        <v>#N/A</v>
      </c>
      <c r="T11" s="662" t="s">
        <v>14</v>
      </c>
      <c r="U11" s="663" t="e">
        <f t="shared" si="1"/>
        <v>#N/A</v>
      </c>
      <c r="V11" s="662" t="s">
        <v>14</v>
      </c>
      <c r="W11" s="663" t="e">
        <f t="shared" si="2"/>
        <v>#N/A</v>
      </c>
      <c r="X11" s="664"/>
      <c r="Y11" s="3337"/>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3"/>
      <c r="M12" s="2435"/>
      <c r="N12" s="2435"/>
      <c r="O12" s="2535"/>
      <c r="P12" s="3444"/>
      <c r="Q12" s="528" t="str">
        <f t="shared" si="6"/>
        <v>配建</v>
      </c>
      <c r="R12" s="662" t="s">
        <v>14</v>
      </c>
      <c r="S12" s="663">
        <f t="shared" si="0"/>
        <v>100</v>
      </c>
      <c r="T12" s="662" t="s">
        <v>14</v>
      </c>
      <c r="U12" s="663">
        <f t="shared" si="1"/>
        <v>100</v>
      </c>
      <c r="V12" s="662" t="s">
        <v>14</v>
      </c>
      <c r="W12" s="663">
        <f t="shared" si="2"/>
        <v>100</v>
      </c>
      <c r="X12" s="664"/>
      <c r="Y12" s="3337"/>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444"/>
      <c r="Q14" s="528">
        <f t="shared" si="6"/>
        <v>111</v>
      </c>
      <c r="R14" s="662" t="s">
        <v>14</v>
      </c>
      <c r="S14" s="663">
        <f t="shared" si="0"/>
        <v>100</v>
      </c>
      <c r="T14" s="662" t="s">
        <v>14</v>
      </c>
      <c r="U14" s="663">
        <f t="shared" si="1"/>
        <v>100</v>
      </c>
      <c r="V14" s="662" t="s">
        <v>14</v>
      </c>
      <c r="W14" s="663">
        <f t="shared" si="2"/>
        <v>100</v>
      </c>
      <c r="X14" s="664"/>
      <c r="Y14" s="3337"/>
      <c r="Z14" s="50">
        <f t="shared" si="7"/>
        <v>111</v>
      </c>
      <c r="AA14" s="50">
        <f>D14/F14</f>
        <v>1</v>
      </c>
      <c r="AB14" s="50">
        <f>D14/H14</f>
        <v>1</v>
      </c>
      <c r="AC14" s="50">
        <f>D14/J14</f>
        <v>1</v>
      </c>
    </row>
    <row r="15" spans="1:29" ht="15">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445" t="s">
        <v>1691</v>
      </c>
      <c r="Q15" s="1260" t="str">
        <f t="shared" si="6"/>
        <v>居住社区成熟度</v>
      </c>
      <c r="R15" s="665" t="s">
        <v>14</v>
      </c>
      <c r="S15" s="666">
        <f t="shared" si="0"/>
        <v>100</v>
      </c>
      <c r="T15" s="665" t="s">
        <v>14</v>
      </c>
      <c r="U15" s="666">
        <f t="shared" si="1"/>
        <v>100</v>
      </c>
      <c r="V15" s="665" t="s">
        <v>14</v>
      </c>
      <c r="W15" s="666">
        <f t="shared" si="2"/>
        <v>100</v>
      </c>
      <c r="X15" s="1262"/>
      <c r="Y15" s="3445"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7"/>
      <c r="M16" s="2482"/>
      <c r="N16" s="2482"/>
      <c r="O16" s="2537"/>
      <c r="P16" s="3446"/>
      <c r="Q16" s="1260"/>
      <c r="R16" s="665"/>
      <c r="S16" s="666"/>
      <c r="T16" s="665"/>
      <c r="U16" s="666"/>
      <c r="V16" s="665"/>
      <c r="W16" s="666"/>
      <c r="X16" s="1262"/>
      <c r="Y16" s="3446"/>
      <c r="Z16" s="1261"/>
      <c r="AA16" s="1261">
        <v>1</v>
      </c>
      <c r="AB16" s="1261">
        <v>1</v>
      </c>
      <c r="AC16" s="1261">
        <v>1</v>
      </c>
    </row>
    <row r="17" spans="1:29" ht="15">
      <c r="A17" s="365"/>
      <c r="B17" s="388" t="s">
        <v>1777</v>
      </c>
      <c r="C17" s="1803">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46"/>
      <c r="Q17" s="1260" t="str">
        <f>B17</f>
        <v>商业繁华度</v>
      </c>
      <c r="R17" s="665" t="s">
        <v>14</v>
      </c>
      <c r="S17" s="666">
        <f>F17</f>
        <v>100</v>
      </c>
      <c r="T17" s="665" t="s">
        <v>14</v>
      </c>
      <c r="U17" s="666">
        <f>H17</f>
        <v>100</v>
      </c>
      <c r="V17" s="665" t="s">
        <v>14</v>
      </c>
      <c r="W17" s="666">
        <f>J17</f>
        <v>100</v>
      </c>
      <c r="X17" s="1262"/>
      <c r="Y17" s="3446"/>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7"/>
      <c r="M18" s="2482"/>
      <c r="N18" s="2482"/>
      <c r="O18" s="2537"/>
      <c r="P18" s="3446"/>
      <c r="Q18" s="1260"/>
      <c r="R18" s="665"/>
      <c r="S18" s="666"/>
      <c r="T18" s="665"/>
      <c r="U18" s="666"/>
      <c r="V18" s="665"/>
      <c r="W18" s="666"/>
      <c r="X18" s="1262"/>
      <c r="Y18" s="3446"/>
      <c r="Z18" s="1261"/>
      <c r="AA18" s="1261">
        <v>1</v>
      </c>
      <c r="AB18" s="1261">
        <v>1</v>
      </c>
      <c r="AC18" s="1261">
        <v>1</v>
      </c>
    </row>
    <row r="19" spans="1:29" ht="42.75">
      <c r="A19" s="365"/>
      <c r="B19" s="388" t="s">
        <v>1811</v>
      </c>
      <c r="C19" s="1803" t="str">
        <f>估价对象房地状况!C17</f>
        <v>国锐金嵿、大族广场、亦城财富中心，较好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46"/>
      <c r="Q19" s="1260" t="str">
        <f>B19</f>
        <v>办公集聚程度</v>
      </c>
      <c r="R19" s="665" t="s">
        <v>14</v>
      </c>
      <c r="S19" s="666">
        <f>F19</f>
        <v>100</v>
      </c>
      <c r="T19" s="665" t="s">
        <v>14</v>
      </c>
      <c r="U19" s="666">
        <f>H19</f>
        <v>100</v>
      </c>
      <c r="V19" s="665" t="s">
        <v>14</v>
      </c>
      <c r="W19" s="666">
        <f>J19</f>
        <v>100</v>
      </c>
      <c r="X19" s="1262"/>
      <c r="Y19" s="3446"/>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7"/>
      <c r="M20" s="2482"/>
      <c r="N20" s="2482"/>
      <c r="O20" s="2537"/>
      <c r="P20" s="3446"/>
      <c r="Q20" s="1260"/>
      <c r="R20" s="665"/>
      <c r="S20" s="666"/>
      <c r="T20" s="665"/>
      <c r="U20" s="666"/>
      <c r="V20" s="665"/>
      <c r="W20" s="666"/>
      <c r="X20" s="1262"/>
      <c r="Y20" s="3446"/>
      <c r="Z20" s="1261"/>
      <c r="AA20" s="1261">
        <v>1</v>
      </c>
      <c r="AB20" s="1261">
        <v>1</v>
      </c>
      <c r="AC20" s="1261">
        <v>1</v>
      </c>
    </row>
    <row r="21" spans="1:29" ht="15">
      <c r="A21" s="365"/>
      <c r="B21" s="388" t="s">
        <v>1833</v>
      </c>
      <c r="C21" s="1751" t="str">
        <f>估价对象房地状况!C18</f>
        <v>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46"/>
      <c r="Q21" s="1260" t="str">
        <f>B21</f>
        <v>交通便捷度</v>
      </c>
      <c r="R21" s="665" t="s">
        <v>14</v>
      </c>
      <c r="S21" s="666">
        <f>F21</f>
        <v>100</v>
      </c>
      <c r="T21" s="665" t="s">
        <v>14</v>
      </c>
      <c r="U21" s="666">
        <f>H21</f>
        <v>100</v>
      </c>
      <c r="V21" s="665" t="s">
        <v>14</v>
      </c>
      <c r="W21" s="666">
        <f>J21</f>
        <v>100</v>
      </c>
      <c r="X21" s="1262"/>
      <c r="Y21" s="3446"/>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7"/>
      <c r="M22" s="2482"/>
      <c r="N22" s="2482"/>
      <c r="O22" s="2537"/>
      <c r="P22" s="3446"/>
      <c r="Q22" s="1260"/>
      <c r="R22" s="665"/>
      <c r="S22" s="666"/>
      <c r="T22" s="665"/>
      <c r="U22" s="666"/>
      <c r="V22" s="665"/>
      <c r="W22" s="666"/>
      <c r="X22" s="1262"/>
      <c r="Y22" s="3446"/>
      <c r="Z22" s="1261"/>
      <c r="AA22" s="1261">
        <v>1</v>
      </c>
      <c r="AB22" s="1261">
        <v>1</v>
      </c>
      <c r="AC22" s="1261">
        <v>1</v>
      </c>
    </row>
    <row r="23" spans="1:29" ht="15">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46"/>
      <c r="Q23" s="1260" t="str">
        <f t="shared" ref="Q23:Q37" si="8">B23</f>
        <v>区域土地利用方向</v>
      </c>
      <c r="R23" s="665" t="s">
        <v>14</v>
      </c>
      <c r="S23" s="666">
        <f>F23</f>
        <v>100</v>
      </c>
      <c r="T23" s="665" t="s">
        <v>14</v>
      </c>
      <c r="U23" s="666">
        <f>H23</f>
        <v>100</v>
      </c>
      <c r="V23" s="665" t="s">
        <v>14</v>
      </c>
      <c r="W23" s="666">
        <f>J23</f>
        <v>100</v>
      </c>
      <c r="X23" s="1262"/>
      <c r="Y23" s="3446"/>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7"/>
      <c r="M24" s="2482"/>
      <c r="N24" s="2482"/>
      <c r="O24" s="2537"/>
      <c r="P24" s="3446"/>
      <c r="Q24" s="1260"/>
      <c r="R24" s="665"/>
      <c r="S24" s="666"/>
      <c r="T24" s="665"/>
      <c r="U24" s="666"/>
      <c r="V24" s="665"/>
      <c r="W24" s="666"/>
      <c r="X24" s="1262"/>
      <c r="Y24" s="3446"/>
      <c r="Z24" s="1261"/>
      <c r="AA24" s="1261"/>
      <c r="AB24" s="1261"/>
      <c r="AC24" s="1261"/>
    </row>
    <row r="25" spans="1:29" ht="42.75">
      <c r="A25" s="346"/>
      <c r="B25" s="584" t="s">
        <v>1872</v>
      </c>
      <c r="C25" s="1803" t="str">
        <f>估价对象房地状况!C20</f>
        <v>博大公园、亦庄新城滨河公园，一般</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46"/>
      <c r="Q25" s="1260" t="str">
        <f t="shared" si="8"/>
        <v>自然及人文环境状况</v>
      </c>
      <c r="R25" s="665" t="s">
        <v>14</v>
      </c>
      <c r="S25" s="666">
        <f>F25</f>
        <v>100</v>
      </c>
      <c r="T25" s="665" t="s">
        <v>14</v>
      </c>
      <c r="U25" s="666">
        <f>H25</f>
        <v>100</v>
      </c>
      <c r="V25" s="665" t="s">
        <v>14</v>
      </c>
      <c r="W25" s="666">
        <f>J25</f>
        <v>100</v>
      </c>
      <c r="X25" s="1262"/>
      <c r="Y25" s="3446"/>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7"/>
      <c r="M26" s="2482"/>
      <c r="N26" s="2482"/>
      <c r="O26" s="2537"/>
      <c r="P26" s="3446"/>
      <c r="Q26" s="1260"/>
      <c r="R26" s="665"/>
      <c r="S26" s="666"/>
      <c r="T26" s="665"/>
      <c r="U26" s="666"/>
      <c r="V26" s="665"/>
      <c r="W26" s="666"/>
      <c r="X26" s="1262"/>
      <c r="Y26" s="3446"/>
      <c r="Z26" s="1261"/>
      <c r="AA26" s="1261">
        <v>1</v>
      </c>
      <c r="AB26" s="1261">
        <v>1</v>
      </c>
      <c r="AC26" s="1261">
        <v>1</v>
      </c>
    </row>
    <row r="27" spans="1:29" s="101" customFormat="1" ht="15">
      <c r="A27" s="441"/>
      <c r="B27" s="584" t="s">
        <v>1778</v>
      </c>
      <c r="C27" s="1751" t="str">
        <f>估价对象房地状况!C21</f>
        <v>较好</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5"/>
      <c r="N27" s="2435"/>
      <c r="O27" s="2535"/>
      <c r="P27" s="3446"/>
      <c r="Q27" s="528" t="str">
        <f t="shared" si="8"/>
        <v>公共配套设施</v>
      </c>
      <c r="R27" s="662" t="s">
        <v>14</v>
      </c>
      <c r="S27" s="663">
        <f>F27</f>
        <v>100</v>
      </c>
      <c r="T27" s="662" t="s">
        <v>14</v>
      </c>
      <c r="U27" s="663">
        <f>H27</f>
        <v>100</v>
      </c>
      <c r="V27" s="662" t="s">
        <v>14</v>
      </c>
      <c r="W27" s="663">
        <f>J27</f>
        <v>100</v>
      </c>
      <c r="X27" s="664"/>
      <c r="Y27" s="3446"/>
      <c r="Z27" s="50" t="str">
        <f>Q27</f>
        <v>公共配套设施</v>
      </c>
      <c r="AA27" s="1261">
        <f>D27/F27</f>
        <v>1</v>
      </c>
      <c r="AB27" s="1261">
        <f>D27/H27</f>
        <v>1</v>
      </c>
      <c r="AC27" s="1261">
        <f>D27/J27</f>
        <v>1</v>
      </c>
    </row>
    <row r="28" spans="1:29" s="101" customFormat="1" ht="15">
      <c r="A28" s="441"/>
      <c r="B28" s="393"/>
      <c r="C28" s="1823"/>
      <c r="D28" s="385"/>
      <c r="E28" s="1755"/>
      <c r="F28" s="385"/>
      <c r="G28" s="1755"/>
      <c r="H28" s="385"/>
      <c r="I28" s="384"/>
      <c r="J28" s="385"/>
      <c r="K28" s="590"/>
      <c r="L28" s="2483"/>
      <c r="M28" s="2435"/>
      <c r="N28" s="2435"/>
      <c r="O28" s="2535"/>
      <c r="P28" s="3446"/>
      <c r="Q28" s="528"/>
      <c r="R28" s="662"/>
      <c r="S28" s="663"/>
      <c r="T28" s="662"/>
      <c r="U28" s="663"/>
      <c r="V28" s="662"/>
      <c r="W28" s="663"/>
      <c r="X28" s="664"/>
      <c r="Y28" s="3446"/>
      <c r="Z28" s="50"/>
      <c r="AA28" s="1261">
        <v>1</v>
      </c>
      <c r="AB28" s="1261">
        <v>1</v>
      </c>
      <c r="AC28" s="1261">
        <v>1</v>
      </c>
    </row>
    <row r="29" spans="1:29" s="101" customFormat="1" ht="15">
      <c r="A29" s="441"/>
      <c r="B29" s="584" t="s">
        <v>1779</v>
      </c>
      <c r="C29" s="1751"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446"/>
      <c r="Q29" s="528" t="str">
        <f t="shared" ref="Q29" si="9">B29</f>
        <v>基础设施水平</v>
      </c>
      <c r="R29" s="662" t="s">
        <v>14</v>
      </c>
      <c r="S29" s="663">
        <f>F29</f>
        <v>100</v>
      </c>
      <c r="T29" s="662" t="s">
        <v>14</v>
      </c>
      <c r="U29" s="663">
        <f>H29</f>
        <v>100</v>
      </c>
      <c r="V29" s="662" t="s">
        <v>14</v>
      </c>
      <c r="W29" s="663">
        <f>J29</f>
        <v>100</v>
      </c>
      <c r="X29" s="664"/>
      <c r="Y29" s="3446"/>
      <c r="Z29" s="50" t="str">
        <f>Q29</f>
        <v>基础设施水平</v>
      </c>
      <c r="AA29" s="1261">
        <f>D29/F29</f>
        <v>1</v>
      </c>
      <c r="AB29" s="1261">
        <f>D29/H29</f>
        <v>1</v>
      </c>
      <c r="AC29" s="1261">
        <f>D29/J29</f>
        <v>1</v>
      </c>
    </row>
    <row r="30" spans="1:29" s="101" customFormat="1" ht="15">
      <c r="A30" s="441"/>
      <c r="B30" s="393"/>
      <c r="C30" s="1823"/>
      <c r="D30" s="385"/>
      <c r="E30" s="1824"/>
      <c r="F30" s="385"/>
      <c r="G30" s="1824"/>
      <c r="H30" s="385"/>
      <c r="I30" s="1824"/>
      <c r="J30" s="385"/>
      <c r="K30" s="590"/>
      <c r="L30" s="2483"/>
      <c r="M30" s="2435"/>
      <c r="N30" s="2435"/>
      <c r="O30" s="2535"/>
      <c r="P30" s="3446"/>
      <c r="Q30" s="528"/>
      <c r="R30" s="662"/>
      <c r="S30" s="663"/>
      <c r="T30" s="662"/>
      <c r="U30" s="663"/>
      <c r="V30" s="662"/>
      <c r="W30" s="663"/>
      <c r="X30" s="664"/>
      <c r="Y30" s="3446"/>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46"/>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46"/>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46"/>
      <c r="Q32" s="1260" t="str">
        <f t="shared" si="8"/>
        <v>毗邻道路的类型与等级</v>
      </c>
      <c r="R32" s="665" t="s">
        <v>14</v>
      </c>
      <c r="S32" s="666">
        <f t="shared" si="10"/>
        <v>100</v>
      </c>
      <c r="T32" s="665" t="s">
        <v>14</v>
      </c>
      <c r="U32" s="666">
        <f t="shared" si="11"/>
        <v>100</v>
      </c>
      <c r="V32" s="665" t="s">
        <v>14</v>
      </c>
      <c r="W32" s="666">
        <f t="shared" si="12"/>
        <v>100</v>
      </c>
      <c r="X32" s="1262"/>
      <c r="Y32" s="3446"/>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7"/>
      <c r="M33" s="2482"/>
      <c r="N33" s="2482"/>
      <c r="O33" s="2537"/>
      <c r="P33" s="3446"/>
      <c r="Q33" s="1260"/>
      <c r="R33" s="665"/>
      <c r="S33" s="666"/>
      <c r="T33" s="665"/>
      <c r="U33" s="666"/>
      <c r="V33" s="665"/>
      <c r="W33" s="666"/>
      <c r="X33" s="1262"/>
      <c r="Y33" s="3446"/>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46"/>
      <c r="Q34" s="1260" t="str">
        <f t="shared" si="8"/>
        <v>土地级别</v>
      </c>
      <c r="R34" s="665" t="s">
        <v>14</v>
      </c>
      <c r="S34" s="666">
        <f t="shared" si="10"/>
        <v>100</v>
      </c>
      <c r="T34" s="665" t="s">
        <v>14</v>
      </c>
      <c r="U34" s="666">
        <f t="shared" si="11"/>
        <v>100</v>
      </c>
      <c r="V34" s="665" t="s">
        <v>14</v>
      </c>
      <c r="W34" s="666">
        <f t="shared" si="12"/>
        <v>100</v>
      </c>
      <c r="X34" s="1262"/>
      <c r="Y34" s="3446"/>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46"/>
      <c r="Q35" s="1260">
        <f t="shared" si="8"/>
        <v>111</v>
      </c>
      <c r="R35" s="665" t="s">
        <v>14</v>
      </c>
      <c r="S35" s="666">
        <f t="shared" si="10"/>
        <v>100</v>
      </c>
      <c r="T35" s="665" t="s">
        <v>14</v>
      </c>
      <c r="U35" s="666">
        <f t="shared" si="11"/>
        <v>100</v>
      </c>
      <c r="V35" s="665" t="s">
        <v>14</v>
      </c>
      <c r="W35" s="666">
        <f t="shared" si="12"/>
        <v>100</v>
      </c>
      <c r="X35" s="1262"/>
      <c r="Y35" s="3446"/>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69" t="s">
        <v>1696</v>
      </c>
      <c r="Q36" s="1260">
        <f t="shared" si="8"/>
        <v>111</v>
      </c>
      <c r="R36" s="665" t="s">
        <v>14</v>
      </c>
      <c r="S36" s="666">
        <f t="shared" si="10"/>
        <v>100</v>
      </c>
      <c r="T36" s="665" t="s">
        <v>14</v>
      </c>
      <c r="U36" s="666">
        <f t="shared" si="11"/>
        <v>100</v>
      </c>
      <c r="V36" s="665" t="s">
        <v>14</v>
      </c>
      <c r="W36" s="666">
        <f t="shared" si="12"/>
        <v>100</v>
      </c>
      <c r="X36" s="1262"/>
      <c r="Y36" s="3450"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50"/>
      <c r="Q37" s="1260">
        <f t="shared" si="8"/>
        <v>111</v>
      </c>
      <c r="R37" s="667" t="s">
        <v>14</v>
      </c>
      <c r="S37" s="668">
        <f t="shared" si="10"/>
        <v>100</v>
      </c>
      <c r="T37" s="667" t="s">
        <v>14</v>
      </c>
      <c r="U37" s="668">
        <f t="shared" si="11"/>
        <v>100</v>
      </c>
      <c r="V37" s="667" t="s">
        <v>14</v>
      </c>
      <c r="W37" s="668">
        <f t="shared" si="12"/>
        <v>100</v>
      </c>
      <c r="X37" s="669"/>
      <c r="Y37" s="3450"/>
      <c r="Z37" s="670">
        <f t="shared" si="13"/>
        <v>111</v>
      </c>
      <c r="AA37" s="1261">
        <f t="shared" si="3"/>
        <v>1</v>
      </c>
      <c r="AB37" s="1261">
        <f t="shared" si="4"/>
        <v>1</v>
      </c>
      <c r="AC37" s="1261">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50"/>
      <c r="Q38" s="1260" t="str">
        <f>B38</f>
        <v>宗地面积</v>
      </c>
      <c r="R38" s="665" t="s">
        <v>14</v>
      </c>
      <c r="S38" s="666" t="e">
        <f t="shared" si="10"/>
        <v>#N/A</v>
      </c>
      <c r="T38" s="665" t="s">
        <v>14</v>
      </c>
      <c r="U38" s="666" t="e">
        <f t="shared" si="11"/>
        <v>#N/A</v>
      </c>
      <c r="V38" s="665" t="s">
        <v>14</v>
      </c>
      <c r="W38" s="666" t="e">
        <f t="shared" si="12"/>
        <v>#N/A</v>
      </c>
      <c r="X38" s="1262"/>
      <c r="Y38" s="3450"/>
      <c r="Z38" s="1261" t="str">
        <f t="shared" si="13"/>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7"/>
      <c r="M39" s="2482"/>
      <c r="N39" s="2482"/>
      <c r="O39" s="2537"/>
      <c r="P39" s="3450"/>
      <c r="Q39" s="1260" t="str">
        <f t="shared" ref="Q39:Q45" si="14">B39</f>
        <v>宗地形状</v>
      </c>
      <c r="R39" s="665" t="s">
        <v>14</v>
      </c>
      <c r="S39" s="666">
        <f t="shared" si="10"/>
        <v>100</v>
      </c>
      <c r="T39" s="665" t="s">
        <v>14</v>
      </c>
      <c r="U39" s="666">
        <f t="shared" si="11"/>
        <v>100</v>
      </c>
      <c r="V39" s="665" t="s">
        <v>14</v>
      </c>
      <c r="W39" s="666">
        <f t="shared" si="12"/>
        <v>100</v>
      </c>
      <c r="X39" s="1262"/>
      <c r="Y39" s="3450"/>
      <c r="Z39" s="1261" t="str">
        <f t="shared" si="13"/>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7"/>
      <c r="M40" s="2482"/>
      <c r="N40" s="2482"/>
      <c r="O40" s="2537"/>
      <c r="P40" s="3450"/>
      <c r="Q40" s="1260" t="str">
        <f t="shared" si="14"/>
        <v>临街宽度及深度</v>
      </c>
      <c r="R40" s="665" t="s">
        <v>14</v>
      </c>
      <c r="S40" s="666">
        <f t="shared" si="10"/>
        <v>100</v>
      </c>
      <c r="T40" s="665" t="s">
        <v>14</v>
      </c>
      <c r="U40" s="666">
        <f t="shared" si="11"/>
        <v>100</v>
      </c>
      <c r="V40" s="665" t="s">
        <v>14</v>
      </c>
      <c r="W40" s="666">
        <f t="shared" si="12"/>
        <v>100</v>
      </c>
      <c r="X40" s="1262"/>
      <c r="Y40" s="3450"/>
      <c r="Z40" s="1261" t="str">
        <f t="shared" si="13"/>
        <v>临街宽度及深度</v>
      </c>
      <c r="AA40" s="1261">
        <f t="shared" si="3"/>
        <v>1</v>
      </c>
      <c r="AB40" s="1261">
        <f t="shared" si="4"/>
        <v>1</v>
      </c>
      <c r="AC40" s="1261">
        <f t="shared" si="5"/>
        <v>1</v>
      </c>
    </row>
    <row r="41" spans="1:29" s="101"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3"/>
      <c r="M41" s="2435"/>
      <c r="N41" s="2435"/>
      <c r="O41" s="2535"/>
      <c r="P41" s="3450"/>
      <c r="Q41" s="1260" t="str">
        <f t="shared" si="14"/>
        <v>宗地开发程度</v>
      </c>
      <c r="R41" s="662" t="s">
        <v>14</v>
      </c>
      <c r="S41" s="663">
        <f t="shared" si="10"/>
        <v>100</v>
      </c>
      <c r="T41" s="662" t="s">
        <v>14</v>
      </c>
      <c r="U41" s="663">
        <f t="shared" si="11"/>
        <v>100</v>
      </c>
      <c r="V41" s="662" t="s">
        <v>14</v>
      </c>
      <c r="W41" s="663">
        <f t="shared" si="12"/>
        <v>100</v>
      </c>
      <c r="X41" s="664"/>
      <c r="Y41" s="3450"/>
      <c r="Z41" s="50" t="str">
        <f t="shared" si="13"/>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7"/>
      <c r="M42" s="2482"/>
      <c r="N42" s="2482"/>
      <c r="O42" s="2537"/>
      <c r="P42" s="3450" t="s">
        <v>1696</v>
      </c>
      <c r="Q42" s="1260" t="str">
        <f t="shared" si="14"/>
        <v>工程地质条件</v>
      </c>
      <c r="R42" s="665" t="s">
        <v>14</v>
      </c>
      <c r="S42" s="666">
        <f t="shared" si="10"/>
        <v>100</v>
      </c>
      <c r="T42" s="665" t="s">
        <v>14</v>
      </c>
      <c r="U42" s="666">
        <f t="shared" si="11"/>
        <v>100</v>
      </c>
      <c r="V42" s="665" t="s">
        <v>14</v>
      </c>
      <c r="W42" s="666">
        <f t="shared" si="12"/>
        <v>100</v>
      </c>
      <c r="X42" s="1262"/>
      <c r="Y42" s="3450"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50"/>
      <c r="Q43" s="1260">
        <f t="shared" si="14"/>
        <v>111</v>
      </c>
      <c r="R43" s="665" t="s">
        <v>14</v>
      </c>
      <c r="S43" s="666">
        <f t="shared" si="10"/>
        <v>100</v>
      </c>
      <c r="T43" s="665" t="s">
        <v>14</v>
      </c>
      <c r="U43" s="666">
        <f t="shared" si="11"/>
        <v>100</v>
      </c>
      <c r="V43" s="665" t="s">
        <v>14</v>
      </c>
      <c r="W43" s="666">
        <f t="shared" si="12"/>
        <v>100</v>
      </c>
      <c r="X43" s="1262"/>
      <c r="Y43" s="3450"/>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50"/>
      <c r="Q44" s="1260">
        <f t="shared" si="14"/>
        <v>111</v>
      </c>
      <c r="R44" s="665" t="s">
        <v>14</v>
      </c>
      <c r="S44" s="666">
        <f t="shared" si="10"/>
        <v>100</v>
      </c>
      <c r="T44" s="665" t="s">
        <v>14</v>
      </c>
      <c r="U44" s="666">
        <f t="shared" si="11"/>
        <v>100</v>
      </c>
      <c r="V44" s="665" t="s">
        <v>14</v>
      </c>
      <c r="W44" s="666">
        <f t="shared" si="12"/>
        <v>100</v>
      </c>
      <c r="X44" s="1262"/>
      <c r="Y44" s="3450"/>
      <c r="Z44" s="1261">
        <f t="shared" si="13"/>
        <v>111</v>
      </c>
      <c r="AA44" s="1261">
        <f t="shared" si="3"/>
        <v>1</v>
      </c>
      <c r="AB44" s="1261">
        <f t="shared" si="4"/>
        <v>1</v>
      </c>
      <c r="AC44" s="1261">
        <f t="shared" si="5"/>
        <v>1</v>
      </c>
    </row>
    <row r="45" spans="1:29" s="406" customFormat="1" ht="15.75"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50"/>
      <c r="Q45" s="1260">
        <f t="shared" si="14"/>
        <v>111</v>
      </c>
      <c r="R45" s="667" t="s">
        <v>14</v>
      </c>
      <c r="S45" s="668">
        <f t="shared" si="10"/>
        <v>100</v>
      </c>
      <c r="T45" s="667" t="s">
        <v>14</v>
      </c>
      <c r="U45" s="668">
        <f t="shared" si="11"/>
        <v>100</v>
      </c>
      <c r="V45" s="667" t="s">
        <v>14</v>
      </c>
      <c r="W45" s="668">
        <f t="shared" si="12"/>
        <v>100</v>
      </c>
      <c r="X45" s="669"/>
      <c r="Y45" s="3450"/>
      <c r="Z45" s="670">
        <f t="shared" si="13"/>
        <v>111</v>
      </c>
      <c r="AA45" s="1261">
        <f t="shared" si="3"/>
        <v>1</v>
      </c>
      <c r="AB45" s="1261">
        <f t="shared" si="4"/>
        <v>1</v>
      </c>
      <c r="AC45" s="1261">
        <f t="shared" si="5"/>
        <v>1</v>
      </c>
    </row>
    <row r="46" spans="1:29" ht="15">
      <c r="A46" s="414" t="s">
        <v>1844</v>
      </c>
      <c r="B46" s="1827" t="s">
        <v>1879</v>
      </c>
      <c r="C46" s="600" t="s">
        <v>0</v>
      </c>
      <c r="D46" s="416"/>
      <c r="E46" s="417"/>
      <c r="F46" s="418"/>
      <c r="G46" s="419"/>
      <c r="H46" s="420"/>
      <c r="I46" s="417"/>
      <c r="J46" s="420"/>
      <c r="K46" s="672"/>
      <c r="L46" s="2489"/>
      <c r="M46" s="2482"/>
      <c r="N46" s="2482"/>
      <c r="O46" s="2482"/>
      <c r="P46" s="3444" t="str">
        <f>A46</f>
        <v>成交单价</v>
      </c>
      <c r="Q46" s="3444"/>
      <c r="R46" s="3439">
        <f>E46</f>
        <v>0</v>
      </c>
      <c r="S46" s="3439"/>
      <c r="T46" s="3439">
        <f>G46</f>
        <v>0</v>
      </c>
      <c r="U46" s="3439"/>
      <c r="V46" s="3439">
        <f>I46</f>
        <v>0</v>
      </c>
      <c r="W46" s="3439"/>
      <c r="X46" s="383"/>
      <c r="Y46" s="671"/>
      <c r="Z46" s="383"/>
      <c r="AA46" s="383"/>
      <c r="AB46" s="383"/>
      <c r="AC46" s="383"/>
    </row>
    <row r="47" spans="1:29" ht="15.75" thickBot="1">
      <c r="A47" s="421" t="s">
        <v>1793</v>
      </c>
      <c r="B47" s="601"/>
      <c r="C47" s="424" t="e">
        <f>R48</f>
        <v>#DIV/0!</v>
      </c>
      <c r="D47" s="2138" t="s">
        <v>2138</v>
      </c>
      <c r="E47" s="424" t="e">
        <f>R47</f>
        <v>#DIV/0!</v>
      </c>
      <c r="F47" s="2139"/>
      <c r="G47" s="423" t="e">
        <f>T47</f>
        <v>#DIV/0!</v>
      </c>
      <c r="H47" s="2139"/>
      <c r="I47" s="424" t="e">
        <f>V47</f>
        <v>#DIV/0!</v>
      </c>
      <c r="J47" s="2139"/>
      <c r="K47" s="2141">
        <f>F47+H47+J47</f>
        <v>0</v>
      </c>
      <c r="L47" s="2489"/>
      <c r="M47" s="2482"/>
      <c r="N47" s="2482"/>
      <c r="O47" s="2482"/>
      <c r="P47" s="3444" t="str">
        <f>A47</f>
        <v>比较价值（元/平方米）</v>
      </c>
      <c r="Q47" s="3444"/>
      <c r="R47" s="3471" t="e">
        <f>ROUND(PRODUCT(R46,AA7:AA45),0)</f>
        <v>#DIV/0!</v>
      </c>
      <c r="S47" s="3471"/>
      <c r="T47" s="3471" t="e">
        <f>ROUND(PRODUCT(T46,AB7:AB45),0)</f>
        <v>#DIV/0!</v>
      </c>
      <c r="U47" s="3471"/>
      <c r="V47" s="3471" t="e">
        <f>ROUND(PRODUCT(V46,AC7:AC45),0)</f>
        <v>#DIV/0!</v>
      </c>
      <c r="W47" s="3471"/>
      <c r="X47" s="383"/>
      <c r="Y47" s="383"/>
      <c r="Z47" s="383"/>
      <c r="AA47" s="383"/>
      <c r="AB47" s="383"/>
      <c r="AC47" s="383"/>
    </row>
    <row r="48" spans="1:29" ht="15.75" thickBot="1">
      <c r="A48" s="425" t="s">
        <v>1880</v>
      </c>
      <c r="B48" s="426"/>
      <c r="C48" s="427" t="e">
        <f>R48</f>
        <v>#DIV/0!</v>
      </c>
      <c r="D48" s="427"/>
      <c r="E48" s="427"/>
      <c r="F48" s="427"/>
      <c r="G48" s="427"/>
      <c r="H48" s="427"/>
      <c r="I48" s="427"/>
      <c r="J48" s="427"/>
      <c r="K48" s="673"/>
      <c r="L48" s="2489"/>
      <c r="M48" s="2482"/>
      <c r="N48" s="2482"/>
      <c r="O48" s="2482"/>
      <c r="P48" s="3441" t="str">
        <f>A48</f>
        <v>估价对象XX用房的比较价值（楼面单价，元/平方米）</v>
      </c>
      <c r="Q48" s="3442"/>
      <c r="R48" s="3472" t="e">
        <f>ROUND(IF(D47="简单平均",AVERAGE(R47:W47),R47*F47+T47*H47+V47*J47),0)</f>
        <v>#DIV/0!</v>
      </c>
      <c r="S48" s="3472"/>
      <c r="T48" s="3472"/>
      <c r="U48" s="3472"/>
      <c r="V48" s="3472"/>
      <c r="W48" s="3472"/>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5"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8" t="s">
        <v>1883</v>
      </c>
      <c r="D55" s="1829" t="s">
        <v>1884</v>
      </c>
      <c r="E55" s="604" t="s">
        <v>1885</v>
      </c>
      <c r="F55" s="834" t="s">
        <v>1886</v>
      </c>
      <c r="G55" s="3427" t="s">
        <v>1887</v>
      </c>
      <c r="H55" s="3473"/>
      <c r="I55" s="125"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7">
        <v>1</v>
      </c>
      <c r="E56" s="608">
        <f>'数据-汇总表'!E8+'数据-汇总表'!E9</f>
        <v>54221.960000000028</v>
      </c>
      <c r="F56" s="830" t="e">
        <f t="shared" ref="F56:F64" si="15">ROUND(B56*E56/10000,0)</f>
        <v>#DIV/0!</v>
      </c>
      <c r="G56" s="3426"/>
      <c r="H56" s="3444"/>
      <c r="I56" s="835">
        <v>1</v>
      </c>
      <c r="J56" s="838">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8">
        <v>0.25</v>
      </c>
      <c r="E57" s="612"/>
      <c r="F57" s="830" t="e">
        <f t="shared" si="15"/>
        <v>#DIV/0!</v>
      </c>
      <c r="G57" s="2745" t="s">
        <v>1892</v>
      </c>
      <c r="H57" s="831">
        <f>项目基本情况!B37</f>
        <v>0</v>
      </c>
      <c r="I57" s="835">
        <f>SUMIF(修正!A57:A68,H57,修正!B57:B68)</f>
        <v>0</v>
      </c>
      <c r="J57" s="839"/>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8">
        <v>0.25</v>
      </c>
      <c r="E58" s="612"/>
      <c r="F58" s="830" t="e">
        <f t="shared" si="15"/>
        <v>#DIV/0!</v>
      </c>
      <c r="G58" s="2746"/>
      <c r="H58" s="831">
        <f>项目基本情况!B37</f>
        <v>0</v>
      </c>
      <c r="I58" s="835">
        <f>SUMIF(修正!A57:A68,H58,修正!C57:C68)</f>
        <v>0</v>
      </c>
      <c r="J58" s="839"/>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8">
        <v>0.25</v>
      </c>
      <c r="E59" s="612"/>
      <c r="F59" s="830" t="e">
        <f t="shared" si="15"/>
        <v>#DIV/0!</v>
      </c>
      <c r="G59" s="2746"/>
      <c r="H59" s="831">
        <f>项目基本情况!B37</f>
        <v>0</v>
      </c>
      <c r="I59" s="835">
        <f>SUMIF(修正!A57:A68,H59,修正!D57:D68)</f>
        <v>0</v>
      </c>
      <c r="J59" s="839"/>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0.25</v>
      </c>
      <c r="D60" s="888">
        <v>0.25</v>
      </c>
      <c r="E60" s="207">
        <f>'数据-汇总表'!E11</f>
        <v>12958.99</v>
      </c>
      <c r="F60" s="830" t="e">
        <f t="shared" si="15"/>
        <v>#DIV/0!</v>
      </c>
      <c r="G60" s="1832" t="s">
        <v>1896</v>
      </c>
      <c r="H60" s="831" t="str">
        <f>项目基本情况!C37</f>
        <v>六级</v>
      </c>
      <c r="I60" s="835">
        <f>SUMIF(修正!A57:A68,H60,修正!E57:E68)</f>
        <v>0.25</v>
      </c>
      <c r="J60" s="839"/>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0.25</v>
      </c>
      <c r="D61" s="888">
        <v>0.25</v>
      </c>
      <c r="E61" s="207">
        <f>'数据-汇总表'!E12</f>
        <v>0</v>
      </c>
      <c r="F61" s="830" t="e">
        <f t="shared" si="15"/>
        <v>#DIV/0!</v>
      </c>
      <c r="G61" s="836" t="s">
        <v>1898</v>
      </c>
      <c r="H61" s="831" t="str">
        <f>IF(G61="商业",项目基本情况!B37,IF(G61="办公",项目基本情况!C37,IF(G61="住宅",项目基本情况!D37,项目基本情况!E37)))</f>
        <v>六级</v>
      </c>
      <c r="I61" s="835">
        <f>SUMIF(修正!A57:A68,H61,修正!F57:F68)</f>
        <v>0.25</v>
      </c>
      <c r="J61" s="839"/>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8">
        <v>0.25</v>
      </c>
      <c r="E62" s="207">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8">
        <v>0.25</v>
      </c>
      <c r="E63" s="207">
        <f>'数据-汇总表'!E14</f>
        <v>0</v>
      </c>
      <c r="F63" s="830" t="e">
        <f t="shared" si="15"/>
        <v>#DIV/0!</v>
      </c>
      <c r="G63" s="1832" t="s">
        <v>1892</v>
      </c>
      <c r="H63" s="831">
        <f>项目基本情况!B37</f>
        <v>0</v>
      </c>
      <c r="I63" s="835">
        <f>SUMIF(修正!A57:A68,H63,修正!G57:G68)</f>
        <v>0</v>
      </c>
      <c r="J63" s="839"/>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5" thickBot="1">
      <c r="A64" s="611" t="s">
        <v>1902</v>
      </c>
      <c r="B64" s="208" t="e">
        <f t="shared" si="17"/>
        <v>#DIV/0!</v>
      </c>
      <c r="C64" s="161">
        <f t="shared" si="16"/>
        <v>0.15</v>
      </c>
      <c r="D64" s="888">
        <v>0.25</v>
      </c>
      <c r="E64" s="207">
        <f>'数据-汇总表'!E15</f>
        <v>0</v>
      </c>
      <c r="F64" s="830" t="e">
        <f t="shared" si="15"/>
        <v>#DIV/0!</v>
      </c>
      <c r="G64" s="1833" t="s">
        <v>1896</v>
      </c>
      <c r="H64" s="841" t="str">
        <f>项目基本情况!C37</f>
        <v>六级</v>
      </c>
      <c r="I64" s="837">
        <f>SUMIF(修正!A57:A68,H64,修正!G57:G68)</f>
        <v>0.15</v>
      </c>
      <c r="J64" s="840"/>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ht="13.5" thickBot="1">
      <c r="A65" s="613" t="s">
        <v>1903</v>
      </c>
      <c r="B65" s="614" t="s">
        <v>22</v>
      </c>
      <c r="C65" s="614" t="s">
        <v>23</v>
      </c>
      <c r="D65" s="614" t="s">
        <v>392</v>
      </c>
      <c r="E65" s="614">
        <f>IF(B46="楼面地价",SUM(E56:E64),'数据-汇总表'!D3)</f>
        <v>67180.950000000026</v>
      </c>
      <c r="F65" s="615" t="e">
        <f>IF(B46="楼面地价",SUM(F56:F64),ROUND(C48*E65/10000,0))</f>
        <v>#DIV/0!</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3"/>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2482"/>
      <c r="Q67" s="2482"/>
      <c r="R67" s="2482"/>
      <c r="S67" s="2482"/>
      <c r="T67" s="2482"/>
      <c r="U67" s="2482"/>
      <c r="V67" s="2482"/>
      <c r="W67" s="2482"/>
      <c r="X67" s="2482"/>
      <c r="Y67" s="2482"/>
      <c r="Z67" s="2482"/>
      <c r="AA67" s="2482"/>
      <c r="AB67" s="2482"/>
      <c r="AC67" s="2482"/>
    </row>
    <row r="68" spans="1:29" ht="21.75" thickBot="1">
      <c r="A68" s="656" t="s">
        <v>1798</v>
      </c>
      <c r="B68" s="383"/>
      <c r="C68" s="657"/>
      <c r="D68" s="657"/>
      <c r="E68" s="657"/>
      <c r="F68" s="658"/>
      <c r="G68" s="658"/>
      <c r="H68" s="657"/>
      <c r="I68" s="657"/>
      <c r="J68" s="883"/>
      <c r="K68" s="884"/>
      <c r="L68" s="885"/>
      <c r="M68" s="883"/>
      <c r="N68" s="2532"/>
      <c r="O68" s="2532"/>
      <c r="P68" s="2532"/>
      <c r="Q68" s="2503"/>
      <c r="R68" s="2482"/>
      <c r="S68" s="2482"/>
      <c r="T68" s="2482"/>
      <c r="U68" s="2482"/>
      <c r="V68" s="2482"/>
      <c r="W68" s="2482"/>
      <c r="X68" s="2482"/>
      <c r="Y68" s="2482"/>
      <c r="Z68" s="2482"/>
      <c r="AA68" s="2482"/>
      <c r="AB68" s="2482"/>
      <c r="AC68" s="2482"/>
    </row>
    <row r="69" spans="1:29" s="440" customFormat="1" ht="15">
      <c r="A69" s="1627" t="s">
        <v>1904</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5"/>
      <c r="Q69" s="2505"/>
      <c r="R69" s="2505"/>
      <c r="S69" s="2505"/>
      <c r="T69" s="2505"/>
      <c r="U69" s="2505"/>
      <c r="V69" s="2505"/>
      <c r="W69" s="2505"/>
      <c r="X69" s="2505"/>
      <c r="Y69" s="2505"/>
      <c r="Z69" s="2505"/>
      <c r="AA69" s="2505"/>
      <c r="AB69" s="2505"/>
      <c r="AC69" s="2505"/>
    </row>
    <row r="70" spans="1:29" s="101"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1" customFormat="1" ht="15.75" thickBot="1">
      <c r="A71" s="447" t="s">
        <v>1716</v>
      </c>
      <c r="B71" s="448"/>
      <c r="C71" s="449"/>
      <c r="D71" s="450"/>
      <c r="E71" s="450"/>
      <c r="F71" s="450"/>
      <c r="G71" s="450"/>
      <c r="H71" s="450"/>
      <c r="I71" s="450"/>
      <c r="J71" s="450"/>
      <c r="K71" s="450"/>
      <c r="L71" s="450"/>
      <c r="M71" s="451"/>
      <c r="N71" s="450"/>
      <c r="O71" s="886"/>
      <c r="P71" s="2503"/>
      <c r="Q71" s="2503"/>
      <c r="R71" s="2435"/>
      <c r="S71" s="2435"/>
      <c r="T71" s="2435"/>
      <c r="U71" s="2435"/>
      <c r="V71" s="2435"/>
      <c r="W71" s="2435"/>
      <c r="X71" s="2435"/>
      <c r="Y71" s="2435"/>
      <c r="Z71" s="2435"/>
      <c r="AA71" s="2435"/>
      <c r="AB71" s="2435"/>
      <c r="AC71" s="2435"/>
    </row>
    <row r="72" spans="1:29" s="101" customFormat="1" ht="15">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1" customFormat="1" ht="15.75"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5.75"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7.75"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5.75"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5.75"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5.75"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5.75"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5.75"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5.75"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5.75"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7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7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7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8"/>
      <c r="O101" s="2518"/>
      <c r="P101" s="2518"/>
      <c r="Q101" s="2510"/>
      <c r="R101" s="2488"/>
      <c r="S101" s="2488"/>
      <c r="T101" s="2488"/>
      <c r="U101" s="2488"/>
      <c r="V101" s="2488"/>
      <c r="W101" s="2488"/>
      <c r="X101" s="2488"/>
      <c r="Y101" s="2488"/>
      <c r="Z101" s="2488"/>
      <c r="AA101" s="2488"/>
      <c r="AB101" s="2488"/>
      <c r="AC101" s="2488"/>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2"/>
      <c r="N102" s="2518"/>
      <c r="O102" s="2518"/>
      <c r="P102" s="2518"/>
      <c r="Q102" s="2510"/>
      <c r="R102" s="2488"/>
      <c r="S102" s="2488"/>
      <c r="T102" s="2488"/>
      <c r="U102" s="2488"/>
      <c r="V102" s="2488"/>
      <c r="W102" s="2488"/>
      <c r="X102" s="2488"/>
      <c r="Y102" s="2488"/>
      <c r="Z102" s="2488"/>
      <c r="AA102" s="2488"/>
      <c r="AB102" s="2488"/>
      <c r="AC102" s="2488"/>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5.75"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5"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5.75"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5"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5.75"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5.75"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5.75"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5"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5.75"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5"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5.75"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2"/>
      <c r="D2" s="852"/>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5">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14" t="s">
        <v>1771</v>
      </c>
      <c r="S4" s="3415"/>
      <c r="T4" s="3414" t="s">
        <v>1772</v>
      </c>
      <c r="U4" s="3415"/>
      <c r="V4" s="3439" t="s">
        <v>1773</v>
      </c>
      <c r="W4" s="3439"/>
      <c r="X4" s="1262"/>
      <c r="Y4" s="3414" t="s">
        <v>1775</v>
      </c>
      <c r="Z4" s="3415"/>
      <c r="AA4" s="3409" t="s">
        <v>1771</v>
      </c>
      <c r="AB4" s="3410" t="s">
        <v>1772</v>
      </c>
      <c r="AC4" s="3409" t="s">
        <v>1773</v>
      </c>
    </row>
    <row r="5" spans="1:29" ht="15">
      <c r="A5" s="346"/>
      <c r="B5" s="347"/>
      <c r="C5" s="3420" t="s">
        <v>1673</v>
      </c>
      <c r="D5" s="3421"/>
      <c r="E5" s="3418" t="s">
        <v>1674</v>
      </c>
      <c r="F5" s="3419"/>
      <c r="G5" s="3420" t="s">
        <v>1675</v>
      </c>
      <c r="H5" s="3421"/>
      <c r="I5" s="3420" t="s">
        <v>1676</v>
      </c>
      <c r="J5" s="3421"/>
      <c r="K5" s="535"/>
      <c r="L5" s="2481"/>
      <c r="M5" s="2482"/>
      <c r="N5" s="2482"/>
      <c r="O5" s="2482"/>
      <c r="P5" s="3433"/>
      <c r="Q5" s="3434"/>
      <c r="R5" s="3416"/>
      <c r="S5" s="3417"/>
      <c r="T5" s="3416"/>
      <c r="U5" s="3417"/>
      <c r="V5" s="3439"/>
      <c r="W5" s="3439"/>
      <c r="X5" s="1262"/>
      <c r="Y5" s="3416"/>
      <c r="Z5" s="3417"/>
      <c r="AA5" s="3410"/>
      <c r="AB5" s="3410"/>
      <c r="AC5" s="3410"/>
    </row>
    <row r="6" spans="1:29" ht="15.75" thickBot="1">
      <c r="A6" s="348"/>
      <c r="B6" s="349"/>
      <c r="C6" s="3474" t="s">
        <v>1919</v>
      </c>
      <c r="D6" s="3475"/>
      <c r="E6" s="3476" t="s">
        <v>1919</v>
      </c>
      <c r="F6" s="3477"/>
      <c r="G6" s="3474" t="s">
        <v>1919</v>
      </c>
      <c r="H6" s="3475"/>
      <c r="I6" s="3474" t="s">
        <v>1919</v>
      </c>
      <c r="J6" s="3475"/>
      <c r="K6" s="535" t="s">
        <v>1678</v>
      </c>
      <c r="L6" s="2481"/>
      <c r="M6" s="2482"/>
      <c r="N6" s="2482"/>
      <c r="O6" s="2482"/>
      <c r="P6" s="3435"/>
      <c r="Q6" s="3436"/>
      <c r="R6" s="3416"/>
      <c r="S6" s="3417"/>
      <c r="T6" s="3437"/>
      <c r="U6" s="3438"/>
      <c r="V6" s="3439"/>
      <c r="W6" s="3439"/>
      <c r="X6" s="1262"/>
      <c r="Y6" s="3437"/>
      <c r="Z6" s="3438"/>
      <c r="AA6" s="3411"/>
      <c r="AB6" s="3411"/>
      <c r="AC6" s="3411"/>
    </row>
    <row r="7" spans="1:29" s="101" customFormat="1" ht="15.75" thickBot="1">
      <c r="A7" s="350" t="s">
        <v>1679</v>
      </c>
      <c r="B7" s="351"/>
      <c r="C7" s="352">
        <f>'数据-取费表'!B2</f>
        <v>45735</v>
      </c>
      <c r="D7" s="353">
        <v>100</v>
      </c>
      <c r="E7" s="354"/>
      <c r="F7" s="355">
        <f>SUMIF(65:65,YEAR(E7)&amp;"-"&amp;INT((MONTH(E7)+2)/3),66:66)</f>
        <v>0</v>
      </c>
      <c r="G7" s="1819"/>
      <c r="H7" s="353">
        <f>SUMIF(65:65,YEAR(G7)&amp;"-"&amp;INT((MONTH(G7)+2)/3),66:66)</f>
        <v>0</v>
      </c>
      <c r="I7" s="1819"/>
      <c r="J7" s="353">
        <f>SUMIF(65:65,YEAR(I7)&amp;"-"&amp;INT((MONTH(I7)+2)/3),66:66)</f>
        <v>0</v>
      </c>
      <c r="K7" s="38"/>
      <c r="L7" s="2483"/>
      <c r="M7" s="2435"/>
      <c r="N7" s="2435"/>
      <c r="O7" s="2435"/>
      <c r="P7" s="3412" t="s">
        <v>1680</v>
      </c>
      <c r="Q7" s="3440"/>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412" t="s">
        <v>1683</v>
      </c>
      <c r="Q8" s="3413"/>
      <c r="R8" s="662" t="s">
        <v>14</v>
      </c>
      <c r="S8" s="663">
        <f t="shared" si="0"/>
        <v>0</v>
      </c>
      <c r="T8" s="662" t="s">
        <v>14</v>
      </c>
      <c r="U8" s="663">
        <f t="shared" si="1"/>
        <v>0</v>
      </c>
      <c r="V8" s="662" t="s">
        <v>14</v>
      </c>
      <c r="W8" s="663">
        <f t="shared" si="2"/>
        <v>0</v>
      </c>
      <c r="X8" s="664"/>
      <c r="Y8" s="3412" t="s">
        <v>1683</v>
      </c>
      <c r="Z8" s="3413"/>
      <c r="AA8" s="50" t="e">
        <f t="shared" ref="AA8:AA40" si="3">D8/F8</f>
        <v>#DIV/0!</v>
      </c>
      <c r="AB8" s="50" t="e">
        <f t="shared" ref="AB8:AB40" si="4">D8/H8</f>
        <v>#DIV/0!</v>
      </c>
      <c r="AC8" s="50" t="e">
        <f t="shared" ref="AC8:AC40" si="5">D8/J8</f>
        <v>#DIV/0!</v>
      </c>
    </row>
    <row r="9" spans="1:29" s="101" customFormat="1">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5"/>
      <c r="P9" s="3444" t="s">
        <v>1686</v>
      </c>
      <c r="Q9" s="528" t="str">
        <f t="shared" ref="Q9:Q15" si="6">B9</f>
        <v>用途</v>
      </c>
      <c r="R9" s="662" t="s">
        <v>14</v>
      </c>
      <c r="S9" s="663">
        <f t="shared" si="0"/>
        <v>100</v>
      </c>
      <c r="T9" s="662" t="s">
        <v>14</v>
      </c>
      <c r="U9" s="663">
        <f t="shared" si="1"/>
        <v>100</v>
      </c>
      <c r="V9" s="662" t="s">
        <v>14</v>
      </c>
      <c r="W9" s="663">
        <f t="shared" si="2"/>
        <v>100</v>
      </c>
      <c r="X9" s="664"/>
      <c r="Y9" s="3337"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121</v>
      </c>
      <c r="G10" s="369"/>
      <c r="H10" s="117">
        <f>ROUND(100/'数据-取费表'!G16,0)</f>
        <v>121</v>
      </c>
      <c r="I10" s="369"/>
      <c r="J10" s="117">
        <f>ROUND(100/'数据-取费表'!G16,0)</f>
        <v>121</v>
      </c>
      <c r="K10" s="590"/>
      <c r="L10" s="2484"/>
      <c r="M10" s="2485"/>
      <c r="N10" s="2485"/>
      <c r="O10" s="2536"/>
      <c r="P10" s="3444"/>
      <c r="Q10" s="528" t="str">
        <f t="shared" si="6"/>
        <v>土地使用年限（年）</v>
      </c>
      <c r="R10" s="662" t="s">
        <v>14</v>
      </c>
      <c r="S10" s="663">
        <f t="shared" si="0"/>
        <v>121</v>
      </c>
      <c r="T10" s="662" t="s">
        <v>14</v>
      </c>
      <c r="U10" s="663">
        <f t="shared" si="1"/>
        <v>121</v>
      </c>
      <c r="V10" s="662" t="s">
        <v>14</v>
      </c>
      <c r="W10" s="663">
        <f t="shared" si="2"/>
        <v>121</v>
      </c>
      <c r="X10" s="664"/>
      <c r="Y10" s="3337"/>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444"/>
      <c r="Q11" s="528" t="str">
        <f t="shared" si="6"/>
        <v>容积率</v>
      </c>
      <c r="R11" s="662" t="s">
        <v>14</v>
      </c>
      <c r="S11" s="663" t="e">
        <f t="shared" si="0"/>
        <v>#N/A</v>
      </c>
      <c r="T11" s="662" t="s">
        <v>14</v>
      </c>
      <c r="U11" s="663" t="e">
        <f t="shared" si="1"/>
        <v>#N/A</v>
      </c>
      <c r="V11" s="662" t="s">
        <v>14</v>
      </c>
      <c r="W11" s="663" t="e">
        <f t="shared" si="2"/>
        <v>#N/A</v>
      </c>
      <c r="X11" s="664"/>
      <c r="Y11" s="3337"/>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444"/>
      <c r="Q12" s="528">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444"/>
      <c r="Q13" s="528">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444"/>
      <c r="Q14" s="528">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57">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445" t="s">
        <v>1691</v>
      </c>
      <c r="Q15" s="1260" t="str">
        <f t="shared" si="6"/>
        <v>产业集聚程度</v>
      </c>
      <c r="R15" s="665" t="s">
        <v>14</v>
      </c>
      <c r="S15" s="666">
        <f t="shared" si="0"/>
        <v>100</v>
      </c>
      <c r="T15" s="665" t="s">
        <v>14</v>
      </c>
      <c r="U15" s="666">
        <f t="shared" si="1"/>
        <v>100</v>
      </c>
      <c r="V15" s="665" t="s">
        <v>14</v>
      </c>
      <c r="W15" s="666">
        <f t="shared" si="2"/>
        <v>100</v>
      </c>
      <c r="X15" s="1262"/>
      <c r="Y15" s="3445"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7"/>
      <c r="M16" s="2482"/>
      <c r="N16" s="2482"/>
      <c r="O16" s="2537"/>
      <c r="P16" s="3446"/>
      <c r="Q16" s="1260"/>
      <c r="R16" s="665"/>
      <c r="S16" s="666"/>
      <c r="T16" s="665"/>
      <c r="U16" s="666"/>
      <c r="V16" s="665"/>
      <c r="W16" s="666"/>
      <c r="X16" s="1262"/>
      <c r="Y16" s="3446"/>
      <c r="Z16" s="1261"/>
      <c r="AA16" s="1261">
        <v>1</v>
      </c>
      <c r="AB16" s="1261">
        <v>1</v>
      </c>
      <c r="AC16" s="1261">
        <v>1</v>
      </c>
    </row>
    <row r="17" spans="1:29" ht="85.5">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46"/>
      <c r="Q17" s="1260" t="str">
        <f>B17</f>
        <v>交通便捷度</v>
      </c>
      <c r="R17" s="665" t="s">
        <v>14</v>
      </c>
      <c r="S17" s="666">
        <f>F17</f>
        <v>100</v>
      </c>
      <c r="T17" s="665" t="s">
        <v>14</v>
      </c>
      <c r="U17" s="666">
        <f>H17</f>
        <v>100</v>
      </c>
      <c r="V17" s="665" t="s">
        <v>14</v>
      </c>
      <c r="W17" s="666">
        <f>J17</f>
        <v>100</v>
      </c>
      <c r="X17" s="1262"/>
      <c r="Y17" s="3446"/>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7"/>
      <c r="M18" s="2482"/>
      <c r="N18" s="2482"/>
      <c r="O18" s="2537"/>
      <c r="P18" s="3446"/>
      <c r="Q18" s="1260"/>
      <c r="R18" s="665"/>
      <c r="S18" s="666"/>
      <c r="T18" s="665"/>
      <c r="U18" s="666"/>
      <c r="V18" s="665"/>
      <c r="W18" s="666"/>
      <c r="X18" s="1262"/>
      <c r="Y18" s="3446"/>
      <c r="Z18" s="1261"/>
      <c r="AA18" s="1261">
        <v>1</v>
      </c>
      <c r="AB18" s="1261">
        <v>1</v>
      </c>
      <c r="AC18" s="1261">
        <v>1</v>
      </c>
    </row>
    <row r="19" spans="1:29" ht="15">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46"/>
      <c r="Q19" s="1260" t="str">
        <f t="shared" ref="Q19:Q33" si="8">B19</f>
        <v>区域土地利用方向</v>
      </c>
      <c r="R19" s="665" t="s">
        <v>14</v>
      </c>
      <c r="S19" s="666">
        <f>F19</f>
        <v>100</v>
      </c>
      <c r="T19" s="665" t="s">
        <v>14</v>
      </c>
      <c r="U19" s="666">
        <f>H19</f>
        <v>100</v>
      </c>
      <c r="V19" s="665" t="s">
        <v>14</v>
      </c>
      <c r="W19" s="666">
        <f>J19</f>
        <v>100</v>
      </c>
      <c r="X19" s="1262"/>
      <c r="Y19" s="3446"/>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7"/>
      <c r="M20" s="2482"/>
      <c r="N20" s="2482"/>
      <c r="O20" s="2537"/>
      <c r="P20" s="3446"/>
      <c r="Q20" s="1260"/>
      <c r="R20" s="665"/>
      <c r="S20" s="666"/>
      <c r="T20" s="665"/>
      <c r="U20" s="666"/>
      <c r="V20" s="665"/>
      <c r="W20" s="666"/>
      <c r="X20" s="1262"/>
      <c r="Y20" s="3446"/>
      <c r="Z20" s="1261"/>
      <c r="AA20" s="1261"/>
      <c r="AB20" s="1261"/>
      <c r="AC20" s="1261"/>
    </row>
    <row r="21" spans="1:29" ht="71.25">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46"/>
      <c r="Q21" s="1260" t="str">
        <f t="shared" si="8"/>
        <v>环境状况</v>
      </c>
      <c r="R21" s="665" t="s">
        <v>14</v>
      </c>
      <c r="S21" s="666">
        <f>F21</f>
        <v>100</v>
      </c>
      <c r="T21" s="665" t="s">
        <v>14</v>
      </c>
      <c r="U21" s="666">
        <f>H21</f>
        <v>100</v>
      </c>
      <c r="V21" s="665" t="s">
        <v>14</v>
      </c>
      <c r="W21" s="666">
        <f>J21</f>
        <v>100</v>
      </c>
      <c r="X21" s="1262"/>
      <c r="Y21" s="3446"/>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7"/>
      <c r="M22" s="2482"/>
      <c r="N22" s="2482"/>
      <c r="O22" s="2537"/>
      <c r="P22" s="3446"/>
      <c r="Q22" s="1260"/>
      <c r="R22" s="665"/>
      <c r="S22" s="666"/>
      <c r="T22" s="665"/>
      <c r="U22" s="666"/>
      <c r="V22" s="665"/>
      <c r="W22" s="666"/>
      <c r="X22" s="1262"/>
      <c r="Y22" s="3446"/>
      <c r="Z22" s="1261"/>
      <c r="AA22" s="1261">
        <v>1</v>
      </c>
      <c r="AB22" s="1261">
        <v>1</v>
      </c>
      <c r="AC22" s="1261">
        <v>1</v>
      </c>
    </row>
    <row r="23" spans="1:29" s="101" customFormat="1" ht="42.75">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446"/>
      <c r="Q23" s="528" t="str">
        <f t="shared" si="8"/>
        <v>公共配套设施</v>
      </c>
      <c r="R23" s="662" t="s">
        <v>14</v>
      </c>
      <c r="S23" s="663">
        <f>F23</f>
        <v>100</v>
      </c>
      <c r="T23" s="662" t="s">
        <v>14</v>
      </c>
      <c r="U23" s="663">
        <f>H23</f>
        <v>100</v>
      </c>
      <c r="V23" s="662" t="s">
        <v>14</v>
      </c>
      <c r="W23" s="663">
        <f>J23</f>
        <v>100</v>
      </c>
      <c r="X23" s="664"/>
      <c r="Y23" s="3446"/>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83"/>
      <c r="M24" s="2435"/>
      <c r="N24" s="2435"/>
      <c r="O24" s="2535"/>
      <c r="P24" s="3446"/>
      <c r="Q24" s="528"/>
      <c r="R24" s="662"/>
      <c r="S24" s="663"/>
      <c r="T24" s="662"/>
      <c r="U24" s="663"/>
      <c r="V24" s="662"/>
      <c r="W24" s="663"/>
      <c r="X24" s="664"/>
      <c r="Y24" s="3446"/>
      <c r="Z24" s="50"/>
      <c r="AA24" s="50">
        <v>1</v>
      </c>
      <c r="AB24" s="50">
        <v>1</v>
      </c>
      <c r="AC24" s="50">
        <v>1</v>
      </c>
    </row>
    <row r="25" spans="1:29" s="101" customFormat="1" ht="28.5">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446"/>
      <c r="Q25" s="528" t="str">
        <f t="shared" ref="Q25" si="9">B25</f>
        <v>基础设施水平</v>
      </c>
      <c r="R25" s="662" t="s">
        <v>14</v>
      </c>
      <c r="S25" s="663">
        <f>F25</f>
        <v>100</v>
      </c>
      <c r="T25" s="662" t="s">
        <v>14</v>
      </c>
      <c r="U25" s="663">
        <f>H25</f>
        <v>100</v>
      </c>
      <c r="V25" s="662" t="s">
        <v>14</v>
      </c>
      <c r="W25" s="663">
        <f>J25</f>
        <v>100</v>
      </c>
      <c r="X25" s="664"/>
      <c r="Y25" s="3446"/>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83"/>
      <c r="M26" s="2435"/>
      <c r="N26" s="2435"/>
      <c r="O26" s="2535"/>
      <c r="P26" s="3446"/>
      <c r="Q26" s="528"/>
      <c r="R26" s="662"/>
      <c r="S26" s="663"/>
      <c r="T26" s="662"/>
      <c r="U26" s="663"/>
      <c r="V26" s="662"/>
      <c r="W26" s="663"/>
      <c r="X26" s="664"/>
      <c r="Y26" s="3446"/>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46"/>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46"/>
      <c r="Z27" s="1261" t="str">
        <f t="shared" ref="Z27:Z40" si="13">Q27</f>
        <v>临街状况</v>
      </c>
      <c r="AA27" s="1261">
        <f t="shared" si="3"/>
        <v>1</v>
      </c>
      <c r="AB27" s="1261">
        <f t="shared" si="4"/>
        <v>1</v>
      </c>
      <c r="AC27" s="1261">
        <f t="shared" si="5"/>
        <v>1</v>
      </c>
    </row>
    <row r="28" spans="1:29" ht="27">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46"/>
      <c r="Q28" s="1260" t="str">
        <f t="shared" si="8"/>
        <v>毗邻道路的类型与等级</v>
      </c>
      <c r="R28" s="665" t="s">
        <v>14</v>
      </c>
      <c r="S28" s="666">
        <f t="shared" si="10"/>
        <v>100</v>
      </c>
      <c r="T28" s="665" t="s">
        <v>14</v>
      </c>
      <c r="U28" s="666">
        <f t="shared" si="11"/>
        <v>100</v>
      </c>
      <c r="V28" s="665" t="s">
        <v>14</v>
      </c>
      <c r="W28" s="666">
        <f t="shared" si="12"/>
        <v>100</v>
      </c>
      <c r="X28" s="1262"/>
      <c r="Y28" s="3446"/>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7"/>
      <c r="M29" s="2482"/>
      <c r="N29" s="2482"/>
      <c r="O29" s="2537"/>
      <c r="P29" s="3446"/>
      <c r="Q29" s="1260"/>
      <c r="R29" s="665"/>
      <c r="S29" s="666"/>
      <c r="T29" s="665"/>
      <c r="U29" s="666"/>
      <c r="V29" s="665"/>
      <c r="W29" s="666"/>
      <c r="X29" s="1262"/>
      <c r="Y29" s="3446"/>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46"/>
      <c r="Q30" s="1260" t="str">
        <f t="shared" si="8"/>
        <v>土地级别</v>
      </c>
      <c r="R30" s="665" t="s">
        <v>14</v>
      </c>
      <c r="S30" s="666">
        <f t="shared" si="10"/>
        <v>100</v>
      </c>
      <c r="T30" s="665" t="s">
        <v>14</v>
      </c>
      <c r="U30" s="666">
        <f t="shared" si="11"/>
        <v>100</v>
      </c>
      <c r="V30" s="665" t="s">
        <v>14</v>
      </c>
      <c r="W30" s="666">
        <f t="shared" si="12"/>
        <v>100</v>
      </c>
      <c r="X30" s="1262"/>
      <c r="Y30" s="3446"/>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46"/>
      <c r="Q31" s="1260">
        <f t="shared" si="8"/>
        <v>111</v>
      </c>
      <c r="R31" s="665" t="s">
        <v>14</v>
      </c>
      <c r="S31" s="666">
        <f t="shared" si="10"/>
        <v>100</v>
      </c>
      <c r="T31" s="665" t="s">
        <v>14</v>
      </c>
      <c r="U31" s="666">
        <f t="shared" si="11"/>
        <v>100</v>
      </c>
      <c r="V31" s="665" t="s">
        <v>14</v>
      </c>
      <c r="W31" s="666">
        <f t="shared" si="12"/>
        <v>100</v>
      </c>
      <c r="X31" s="1262"/>
      <c r="Y31" s="3446"/>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69" t="s">
        <v>1696</v>
      </c>
      <c r="Q32" s="1260">
        <f t="shared" si="8"/>
        <v>111</v>
      </c>
      <c r="R32" s="665" t="s">
        <v>14</v>
      </c>
      <c r="S32" s="666">
        <f t="shared" si="10"/>
        <v>100</v>
      </c>
      <c r="T32" s="665" t="s">
        <v>14</v>
      </c>
      <c r="U32" s="666">
        <f t="shared" si="11"/>
        <v>100</v>
      </c>
      <c r="V32" s="665" t="s">
        <v>14</v>
      </c>
      <c r="W32" s="666">
        <f t="shared" si="12"/>
        <v>100</v>
      </c>
      <c r="X32" s="1262"/>
      <c r="Y32" s="3450" t="s">
        <v>1696</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50"/>
      <c r="Q33" s="1260">
        <f t="shared" si="8"/>
        <v>111</v>
      </c>
      <c r="R33" s="667" t="s">
        <v>14</v>
      </c>
      <c r="S33" s="668">
        <f t="shared" si="10"/>
        <v>100</v>
      </c>
      <c r="T33" s="667" t="s">
        <v>14</v>
      </c>
      <c r="U33" s="668">
        <f t="shared" si="11"/>
        <v>100</v>
      </c>
      <c r="V33" s="667" t="s">
        <v>14</v>
      </c>
      <c r="W33" s="668">
        <f t="shared" si="12"/>
        <v>100</v>
      </c>
      <c r="X33" s="669"/>
      <c r="Y33" s="3450"/>
      <c r="Z33" s="670">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50"/>
      <c r="Q34" s="1260" t="str">
        <f>B34</f>
        <v>宗地面积</v>
      </c>
      <c r="R34" s="665" t="s">
        <v>14</v>
      </c>
      <c r="S34" s="666" t="e">
        <f t="shared" si="10"/>
        <v>#N/A</v>
      </c>
      <c r="T34" s="665" t="s">
        <v>14</v>
      </c>
      <c r="U34" s="666" t="e">
        <f t="shared" si="11"/>
        <v>#N/A</v>
      </c>
      <c r="V34" s="665" t="s">
        <v>14</v>
      </c>
      <c r="W34" s="666" t="e">
        <f t="shared" si="12"/>
        <v>#N/A</v>
      </c>
      <c r="X34" s="1262"/>
      <c r="Y34" s="3450"/>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7"/>
      <c r="M35" s="2482"/>
      <c r="N35" s="2482"/>
      <c r="O35" s="2537"/>
      <c r="P35" s="3450"/>
      <c r="Q35" s="1260" t="str">
        <f t="shared" ref="Q35:Q40" si="14">B35</f>
        <v>宗地形状</v>
      </c>
      <c r="R35" s="665" t="s">
        <v>14</v>
      </c>
      <c r="S35" s="666">
        <f t="shared" si="10"/>
        <v>100</v>
      </c>
      <c r="T35" s="665" t="s">
        <v>14</v>
      </c>
      <c r="U35" s="666">
        <f t="shared" si="11"/>
        <v>100</v>
      </c>
      <c r="V35" s="665" t="s">
        <v>14</v>
      </c>
      <c r="W35" s="666">
        <f t="shared" si="12"/>
        <v>100</v>
      </c>
      <c r="X35" s="1262"/>
      <c r="Y35" s="3450"/>
      <c r="Z35" s="1261" t="str">
        <f t="shared" si="13"/>
        <v>宗地形状</v>
      </c>
      <c r="AA35" s="1261">
        <f t="shared" si="3"/>
        <v>1</v>
      </c>
      <c r="AB35" s="1261">
        <f t="shared" si="4"/>
        <v>1</v>
      </c>
      <c r="AC35" s="1261">
        <f t="shared" si="5"/>
        <v>1</v>
      </c>
    </row>
    <row r="36" spans="1:31" s="101"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3"/>
      <c r="M36" s="2435"/>
      <c r="N36" s="2435"/>
      <c r="O36" s="2535"/>
      <c r="P36" s="3450"/>
      <c r="Q36" s="1260" t="str">
        <f t="shared" si="14"/>
        <v>宗地开发程度</v>
      </c>
      <c r="R36" s="662" t="s">
        <v>14</v>
      </c>
      <c r="S36" s="663">
        <f t="shared" si="10"/>
        <v>100</v>
      </c>
      <c r="T36" s="662" t="s">
        <v>14</v>
      </c>
      <c r="U36" s="663">
        <f t="shared" si="11"/>
        <v>100</v>
      </c>
      <c r="V36" s="662" t="s">
        <v>14</v>
      </c>
      <c r="W36" s="663">
        <f t="shared" si="12"/>
        <v>100</v>
      </c>
      <c r="X36" s="664"/>
      <c r="Y36" s="3450"/>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7"/>
      <c r="M37" s="2482"/>
      <c r="N37" s="2482"/>
      <c r="O37" s="2537"/>
      <c r="P37" s="3450" t="s">
        <v>1696</v>
      </c>
      <c r="Q37" s="1260" t="str">
        <f t="shared" si="14"/>
        <v>工程地质条件</v>
      </c>
      <c r="R37" s="665" t="s">
        <v>14</v>
      </c>
      <c r="S37" s="666">
        <f t="shared" si="10"/>
        <v>100</v>
      </c>
      <c r="T37" s="665" t="s">
        <v>14</v>
      </c>
      <c r="U37" s="666">
        <f t="shared" si="11"/>
        <v>100</v>
      </c>
      <c r="V37" s="665" t="s">
        <v>14</v>
      </c>
      <c r="W37" s="666">
        <f t="shared" si="12"/>
        <v>100</v>
      </c>
      <c r="X37" s="1262"/>
      <c r="Y37" s="3450"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50"/>
      <c r="Q38" s="1260">
        <f t="shared" si="14"/>
        <v>111</v>
      </c>
      <c r="R38" s="665" t="s">
        <v>14</v>
      </c>
      <c r="S38" s="666">
        <f t="shared" si="10"/>
        <v>100</v>
      </c>
      <c r="T38" s="665" t="s">
        <v>14</v>
      </c>
      <c r="U38" s="666">
        <f t="shared" si="11"/>
        <v>100</v>
      </c>
      <c r="V38" s="665" t="s">
        <v>14</v>
      </c>
      <c r="W38" s="666">
        <f t="shared" si="12"/>
        <v>100</v>
      </c>
      <c r="X38" s="1262"/>
      <c r="Y38" s="3450"/>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50"/>
      <c r="Q39" s="1260">
        <f t="shared" si="14"/>
        <v>111</v>
      </c>
      <c r="R39" s="665" t="s">
        <v>14</v>
      </c>
      <c r="S39" s="666">
        <f t="shared" si="10"/>
        <v>100</v>
      </c>
      <c r="T39" s="665" t="s">
        <v>14</v>
      </c>
      <c r="U39" s="666">
        <f t="shared" si="11"/>
        <v>100</v>
      </c>
      <c r="V39" s="665" t="s">
        <v>14</v>
      </c>
      <c r="W39" s="666">
        <f t="shared" si="12"/>
        <v>100</v>
      </c>
      <c r="X39" s="1262"/>
      <c r="Y39" s="3450"/>
      <c r="Z39" s="1261">
        <f t="shared" si="13"/>
        <v>111</v>
      </c>
      <c r="AA39" s="1261">
        <f t="shared" si="3"/>
        <v>1</v>
      </c>
      <c r="AB39" s="1261">
        <f t="shared" si="4"/>
        <v>1</v>
      </c>
      <c r="AC39" s="1261">
        <f t="shared" si="5"/>
        <v>1</v>
      </c>
    </row>
    <row r="40" spans="1:31" s="406" customFormat="1" ht="15.75"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50"/>
      <c r="Q40" s="1260">
        <f t="shared" si="14"/>
        <v>111</v>
      </c>
      <c r="R40" s="667" t="s">
        <v>14</v>
      </c>
      <c r="S40" s="668">
        <f t="shared" si="10"/>
        <v>100</v>
      </c>
      <c r="T40" s="667" t="s">
        <v>14</v>
      </c>
      <c r="U40" s="668">
        <f t="shared" si="11"/>
        <v>100</v>
      </c>
      <c r="V40" s="667" t="s">
        <v>14</v>
      </c>
      <c r="W40" s="668">
        <f t="shared" si="12"/>
        <v>100</v>
      </c>
      <c r="X40" s="669"/>
      <c r="Y40" s="3450"/>
      <c r="Z40" s="670">
        <f t="shared" si="13"/>
        <v>111</v>
      </c>
      <c r="AA40" s="1261">
        <f t="shared" si="3"/>
        <v>1</v>
      </c>
      <c r="AB40" s="1261">
        <f t="shared" si="4"/>
        <v>1</v>
      </c>
      <c r="AC40" s="1261">
        <f t="shared" si="5"/>
        <v>1</v>
      </c>
    </row>
    <row r="41" spans="1:31" ht="15">
      <c r="A41" s="414" t="s">
        <v>1844</v>
      </c>
      <c r="B41" s="1827" t="s">
        <v>1922</v>
      </c>
      <c r="C41" s="600" t="s">
        <v>0</v>
      </c>
      <c r="D41" s="416"/>
      <c r="E41" s="417"/>
      <c r="F41" s="418"/>
      <c r="G41" s="419"/>
      <c r="H41" s="420"/>
      <c r="I41" s="417"/>
      <c r="J41" s="420"/>
      <c r="K41" s="672"/>
      <c r="L41" s="2489"/>
      <c r="M41" s="2482"/>
      <c r="N41" s="2482"/>
      <c r="O41" s="2482"/>
      <c r="P41" s="3444" t="str">
        <f>A41</f>
        <v>成交单价</v>
      </c>
      <c r="Q41" s="3444"/>
      <c r="R41" s="3439">
        <f>E41</f>
        <v>0</v>
      </c>
      <c r="S41" s="3439"/>
      <c r="T41" s="3439">
        <f>G41</f>
        <v>0</v>
      </c>
      <c r="U41" s="3439"/>
      <c r="V41" s="3439">
        <f>I41</f>
        <v>0</v>
      </c>
      <c r="W41" s="3439"/>
      <c r="X41" s="383"/>
      <c r="Y41" s="671"/>
      <c r="Z41" s="383"/>
      <c r="AA41" s="383"/>
      <c r="AB41" s="383"/>
      <c r="AC41" s="383"/>
    </row>
    <row r="42" spans="1:31" ht="15.75" thickBot="1">
      <c r="A42" s="421" t="s">
        <v>1793</v>
      </c>
      <c r="B42" s="601"/>
      <c r="C42" s="424" t="e">
        <f>R43</f>
        <v>#DIV/0!</v>
      </c>
      <c r="D42" s="2138" t="s">
        <v>2138</v>
      </c>
      <c r="E42" s="424" t="e">
        <f>R42</f>
        <v>#DIV/0!</v>
      </c>
      <c r="F42" s="2139"/>
      <c r="G42" s="423" t="e">
        <f>T42</f>
        <v>#DIV/0!</v>
      </c>
      <c r="H42" s="2139"/>
      <c r="I42" s="424" t="e">
        <f>V42</f>
        <v>#DIV/0!</v>
      </c>
      <c r="J42" s="2139"/>
      <c r="K42" s="2141">
        <f>F42+H42+J42</f>
        <v>0</v>
      </c>
      <c r="L42" s="2489"/>
      <c r="M42" s="2482"/>
      <c r="N42" s="2482"/>
      <c r="O42" s="2482"/>
      <c r="P42" s="3444" t="str">
        <f>A42</f>
        <v>比较价值（元/平方米）</v>
      </c>
      <c r="Q42" s="3444"/>
      <c r="R42" s="3471" t="e">
        <f>ROUND(PRODUCT(R41,AA7:AA40),0)</f>
        <v>#DIV/0!</v>
      </c>
      <c r="S42" s="3471"/>
      <c r="T42" s="3471" t="e">
        <f>ROUND(PRODUCT(T41,AB7:AB40),0)</f>
        <v>#DIV/0!</v>
      </c>
      <c r="U42" s="3471"/>
      <c r="V42" s="3471" t="e">
        <f>ROUND(PRODUCT(V41,AC7:AC40),0)</f>
        <v>#DIV/0!</v>
      </c>
      <c r="W42" s="3471"/>
      <c r="X42" s="383"/>
      <c r="Y42" s="383"/>
      <c r="Z42" s="383"/>
      <c r="AA42" s="383"/>
      <c r="AB42" s="383"/>
      <c r="AC42" s="383"/>
    </row>
    <row r="43" spans="1:31" ht="15.75" thickBot="1">
      <c r="A43" s="425" t="s">
        <v>1794</v>
      </c>
      <c r="B43" s="426"/>
      <c r="C43" s="427" t="e">
        <f>R43</f>
        <v>#DIV/0!</v>
      </c>
      <c r="D43" s="427"/>
      <c r="E43" s="427"/>
      <c r="F43" s="427"/>
      <c r="G43" s="427"/>
      <c r="H43" s="427"/>
      <c r="I43" s="427"/>
      <c r="J43" s="427"/>
      <c r="K43" s="673"/>
      <c r="L43" s="2489"/>
      <c r="M43" s="2482"/>
      <c r="N43" s="2482"/>
      <c r="O43" s="2482"/>
      <c r="P43" s="3441" t="str">
        <f>A43</f>
        <v>估价对象XX用房的比较价值（楼面单价，元/平方米）</v>
      </c>
      <c r="Q43" s="3442"/>
      <c r="R43" s="3472" t="e">
        <f>ROUND(IF(D42="简单平均",AVERAGE(R42:W42),R42*F42+T42*H42+V42*J42),0)</f>
        <v>#DIV/0!</v>
      </c>
      <c r="S43" s="3472"/>
      <c r="T43" s="3472"/>
      <c r="U43" s="3472"/>
      <c r="V43" s="3472"/>
      <c r="W43" s="3472"/>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5"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2" t="s">
        <v>1881</v>
      </c>
      <c r="B50" s="603" t="s">
        <v>1882</v>
      </c>
      <c r="C50" s="1828" t="s">
        <v>1883</v>
      </c>
      <c r="D50" s="1829" t="s">
        <v>1884</v>
      </c>
      <c r="E50" s="604" t="s">
        <v>1885</v>
      </c>
      <c r="F50" s="605" t="s">
        <v>1886</v>
      </c>
      <c r="G50" s="3427" t="s">
        <v>1887</v>
      </c>
      <c r="H50" s="3473"/>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7">
        <v>1</v>
      </c>
      <c r="E51" s="608">
        <f>'数据-汇总表'!E8+'数据-汇总表'!E9</f>
        <v>54221.960000000028</v>
      </c>
      <c r="F51" s="609" t="e">
        <f t="shared" ref="F51:F60" si="15">ROUND(B51*E51/10000,0)</f>
        <v>#DIV/0!</v>
      </c>
      <c r="G51" s="3426"/>
      <c r="H51" s="3444"/>
      <c r="I51" s="724">
        <v>1</v>
      </c>
      <c r="J51" s="724">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8">
        <v>0.25</v>
      </c>
      <c r="E52" s="612"/>
      <c r="F52" s="609" t="e">
        <f t="shared" si="15"/>
        <v>#DIV/0!</v>
      </c>
      <c r="G52" s="2745" t="s">
        <v>1892</v>
      </c>
      <c r="H52" s="831">
        <f>项目基本情况!B37</f>
        <v>0</v>
      </c>
      <c r="I52" s="724">
        <f>SUMIF(修正!A57:A68,H52,修正!B57:B68)</f>
        <v>0</v>
      </c>
      <c r="J52" s="725"/>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8">
        <v>0.25</v>
      </c>
      <c r="E53" s="612"/>
      <c r="F53" s="609" t="e">
        <f t="shared" si="15"/>
        <v>#DIV/0!</v>
      </c>
      <c r="G53" s="2746"/>
      <c r="H53" s="831">
        <f>项目基本情况!B37</f>
        <v>0</v>
      </c>
      <c r="I53" s="724">
        <f>SUMIF(修正!A57:A68,H53,修正!C57:C68)</f>
        <v>0</v>
      </c>
      <c r="J53" s="725"/>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8">
        <v>0.25</v>
      </c>
      <c r="E54" s="612"/>
      <c r="F54" s="609" t="e">
        <f t="shared" si="15"/>
        <v>#DIV/0!</v>
      </c>
      <c r="G54" s="2746"/>
      <c r="H54" s="831">
        <f>项目基本情况!B37</f>
        <v>0</v>
      </c>
      <c r="I54" s="724">
        <f>SUMIF(修正!A57:A68,H54,修正!D57:D68)</f>
        <v>0</v>
      </c>
      <c r="J54" s="725"/>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8"/>
      <c r="E55" s="612"/>
      <c r="F55" s="609"/>
      <c r="G55" s="2747"/>
      <c r="H55" s="831"/>
      <c r="I55" s="724"/>
      <c r="J55" s="725"/>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0.25</v>
      </c>
      <c r="D56" s="888">
        <v>0.25</v>
      </c>
      <c r="E56" s="207">
        <f>'数据-汇总表'!E11</f>
        <v>12958.99</v>
      </c>
      <c r="F56" s="609" t="e">
        <f t="shared" si="15"/>
        <v>#DIV/0!</v>
      </c>
      <c r="G56" s="1832" t="s">
        <v>1896</v>
      </c>
      <c r="H56" s="831" t="str">
        <f>项目基本情况!C37</f>
        <v>六级</v>
      </c>
      <c r="I56" s="724">
        <f>SUMIF(修正!A57:A68,H56,修正!E57:E68)</f>
        <v>0.25</v>
      </c>
      <c r="J56" s="725"/>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0.25</v>
      </c>
      <c r="D57" s="888">
        <v>0.25</v>
      </c>
      <c r="E57" s="207">
        <f>'数据-汇总表'!E12</f>
        <v>0</v>
      </c>
      <c r="F57" s="609" t="e">
        <f t="shared" si="15"/>
        <v>#DIV/0!</v>
      </c>
      <c r="G57" s="836" t="s">
        <v>1898</v>
      </c>
      <c r="H57" s="831" t="str">
        <f>IF(G57="商业",项目基本情况!B37,IF(G57="办公",项目基本情况!C37,IF(G57="住宅",项目基本情况!D37,项目基本情况!E37)))</f>
        <v>六级</v>
      </c>
      <c r="I57" s="724">
        <f>SUMIF(修正!A57:A68,H57,修正!F57:F68)</f>
        <v>0.25</v>
      </c>
      <c r="J57" s="725"/>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8">
        <v>0.25</v>
      </c>
      <c r="E58" s="207">
        <f>'数据-汇总表'!E13</f>
        <v>0</v>
      </c>
      <c r="F58" s="609" t="e">
        <f t="shared" si="15"/>
        <v>#DIV/0!</v>
      </c>
      <c r="G58" s="836" t="s">
        <v>1900</v>
      </c>
      <c r="H58" s="831">
        <f>IF(G58="商业",项目基本情况!B37,IF(G58="办公",项目基本情况!C37,IF(G58="住宅",项目基本情况!D37,项目基本情况!E37)))</f>
        <v>0</v>
      </c>
      <c r="I58" s="724">
        <f>SUMIF(修正!A57:A68,H58,修正!G57:G68)</f>
        <v>0</v>
      </c>
      <c r="J58" s="725"/>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8">
        <v>0.25</v>
      </c>
      <c r="E59" s="207">
        <f>'数据-汇总表'!E14</f>
        <v>0</v>
      </c>
      <c r="F59" s="609" t="e">
        <f t="shared" si="15"/>
        <v>#DIV/0!</v>
      </c>
      <c r="G59" s="1832" t="s">
        <v>1892</v>
      </c>
      <c r="H59" s="831">
        <f>项目基本情况!B37</f>
        <v>0</v>
      </c>
      <c r="I59" s="724">
        <f>SUMIF(修正!A57:A68,H59,修正!G57:G68)</f>
        <v>0</v>
      </c>
      <c r="J59" s="725"/>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5" thickBot="1">
      <c r="A60" s="611" t="s">
        <v>1902</v>
      </c>
      <c r="B60" s="208" t="e">
        <f t="shared" si="17"/>
        <v>#DIV/0!</v>
      </c>
      <c r="C60" s="161">
        <f t="shared" si="16"/>
        <v>0.15</v>
      </c>
      <c r="D60" s="888">
        <v>0.25</v>
      </c>
      <c r="E60" s="207">
        <f>'数据-汇总表'!E15</f>
        <v>0</v>
      </c>
      <c r="F60" s="609" t="e">
        <f t="shared" si="15"/>
        <v>#DIV/0!</v>
      </c>
      <c r="G60" s="1833" t="s">
        <v>1896</v>
      </c>
      <c r="H60" s="841" t="str">
        <f>项目基本情况!C37</f>
        <v>六级</v>
      </c>
      <c r="I60" s="724">
        <f>SUMIF(修正!A57:A68,H60,修正!G57:G68)</f>
        <v>0.15</v>
      </c>
      <c r="J60" s="725"/>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2"/>
      <c r="H61" s="882"/>
      <c r="I61" s="882"/>
      <c r="J61" s="882"/>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2"/>
      <c r="Q63" s="2482"/>
      <c r="R63" s="2482"/>
      <c r="S63" s="2482"/>
      <c r="T63" s="2482"/>
      <c r="U63" s="2482"/>
      <c r="V63" s="2482"/>
      <c r="W63" s="2482"/>
      <c r="X63" s="2482"/>
      <c r="Y63" s="2482"/>
      <c r="Z63" s="2482"/>
      <c r="AA63" s="2482"/>
      <c r="AB63" s="2482"/>
      <c r="AC63" s="2482"/>
      <c r="AD63" s="2482"/>
      <c r="AE63" s="2482"/>
    </row>
    <row r="64" spans="1:31" ht="21.75" thickBot="1">
      <c r="A64" s="656" t="s">
        <v>1798</v>
      </c>
      <c r="B64" s="383"/>
      <c r="C64" s="657"/>
      <c r="D64" s="657"/>
      <c r="E64" s="657"/>
      <c r="F64" s="658"/>
      <c r="G64" s="658"/>
      <c r="H64" s="657"/>
      <c r="I64" s="657"/>
      <c r="J64" s="657"/>
      <c r="K64" s="659"/>
      <c r="L64" s="660"/>
      <c r="M64" s="657"/>
      <c r="N64" s="657"/>
      <c r="O64" s="883"/>
      <c r="P64" s="2532"/>
      <c r="Q64" s="2503"/>
      <c r="R64" s="2482"/>
      <c r="S64" s="2482"/>
      <c r="T64" s="2482"/>
      <c r="U64" s="2482"/>
      <c r="V64" s="2482"/>
      <c r="W64" s="2482"/>
      <c r="X64" s="2482"/>
      <c r="Y64" s="2482"/>
      <c r="Z64" s="2482"/>
      <c r="AA64" s="2482"/>
      <c r="AB64" s="2482"/>
      <c r="AC64" s="2482"/>
      <c r="AD64" s="2482"/>
      <c r="AE64" s="2482"/>
    </row>
    <row r="65" spans="1:31" s="440" customFormat="1" ht="15">
      <c r="A65" s="1627" t="s">
        <v>1904</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1" customFormat="1" ht="15.7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1" customFormat="1" ht="15">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1" customFormat="1" ht="15.75"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5.75"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5.75"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5.75"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5.75"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5.75"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5.75"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5"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5.75"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5"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5.75"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6" t="s">
        <v>2083</v>
      </c>
      <c r="C1" s="3481" t="s">
        <v>2084</v>
      </c>
      <c r="D1" s="3482"/>
      <c r="E1" s="3482"/>
      <c r="F1" s="3482"/>
      <c r="G1" s="3482"/>
      <c r="H1" s="3482"/>
      <c r="I1" s="3482"/>
      <c r="J1" s="3482"/>
      <c r="K1" s="3482"/>
      <c r="L1" s="3482"/>
      <c r="M1" s="3482"/>
      <c r="N1" s="3482"/>
      <c r="O1" s="3482"/>
      <c r="P1" s="3482"/>
      <c r="Q1" s="3482"/>
      <c r="R1" s="3482"/>
      <c r="S1" s="3483"/>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5"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8" t="s">
        <v>27</v>
      </c>
      <c r="D22" s="3479"/>
      <c r="E22" s="3479"/>
      <c r="F22" s="3479"/>
      <c r="G22" s="3479"/>
      <c r="H22" s="3479"/>
      <c r="I22" s="3479"/>
      <c r="J22" s="3479"/>
      <c r="K22" s="3479"/>
      <c r="L22" s="3479"/>
      <c r="M22" s="3479"/>
      <c r="N22" s="3479"/>
      <c r="O22" s="3479"/>
      <c r="P22" s="3479"/>
      <c r="Q22" s="34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39"/>
      <c r="G1" s="2539"/>
      <c r="H1" s="2539"/>
      <c r="I1" s="2539"/>
      <c r="J1" s="2539"/>
      <c r="K1" s="2539"/>
      <c r="L1" s="2539"/>
      <c r="M1" s="2539"/>
      <c r="N1" s="2539"/>
      <c r="O1" s="2539"/>
      <c r="P1" s="2539"/>
    </row>
    <row r="2" spans="1:16" ht="15.75">
      <c r="A2" s="1981" t="s">
        <v>2073</v>
      </c>
      <c r="B2" s="2383">
        <f ca="1">SUMIF(B6:B13,"&lt;&gt;#ref!",B6:B13)</f>
        <v>52973</v>
      </c>
      <c r="C2" s="1981" t="s">
        <v>2074</v>
      </c>
      <c r="D2" s="1981" t="s">
        <v>2075</v>
      </c>
      <c r="E2" s="2393">
        <f ca="1">SUMIF(E6:E13,"&lt;&gt;#ref!",E6:E13)</f>
        <v>67180.950000000026</v>
      </c>
      <c r="F2" s="2539"/>
      <c r="G2" s="2539"/>
      <c r="H2" s="2539"/>
      <c r="I2" s="2539"/>
      <c r="J2" s="2539"/>
      <c r="K2" s="2539"/>
      <c r="L2" s="2539"/>
      <c r="M2" s="2539"/>
      <c r="N2" s="2539"/>
      <c r="O2" s="2539"/>
      <c r="P2" s="2539"/>
    </row>
    <row r="3" spans="1:16" ht="15.75">
      <c r="A3" s="1981" t="s">
        <v>2076</v>
      </c>
      <c r="B3" s="2383">
        <f ca="1">ROUND(B2*10000/E2,0)</f>
        <v>7885</v>
      </c>
      <c r="C3" s="1981"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2077</v>
      </c>
      <c r="B5" s="2391" t="s">
        <v>2078</v>
      </c>
      <c r="C5" s="1982"/>
      <c r="D5" s="2539"/>
      <c r="E5" s="2392" t="s">
        <v>2079</v>
      </c>
      <c r="F5" s="2539"/>
      <c r="G5" s="2539"/>
      <c r="H5" s="2539"/>
      <c r="I5" s="2539"/>
      <c r="J5" s="2539"/>
      <c r="K5" s="2539"/>
      <c r="L5" s="2539"/>
      <c r="M5" s="2539"/>
      <c r="N5" s="2539"/>
      <c r="O5" s="2539"/>
      <c r="P5" s="2539"/>
    </row>
    <row r="6" spans="1:16" ht="15.75">
      <c r="A6" s="2390" t="s">
        <v>2080</v>
      </c>
      <c r="B6" s="2383">
        <f ca="1">SUMIF(INDIRECT("'"&amp;A6&amp;"'"&amp;"!A:A"),"总价",INDIRECT("'"&amp;A6&amp;"'"&amp;"!B:B"))</f>
        <v>52973</v>
      </c>
      <c r="C6" s="1981" t="s">
        <v>2074</v>
      </c>
      <c r="D6" s="2539"/>
      <c r="E6" s="2393">
        <f ca="1">SUMIF(INDIRECT("'"&amp;A6&amp;"'"&amp;"!C:C"),"建筑面积",INDIRECT("'"&amp;A6&amp;"'"&amp;"!D:D"))</f>
        <v>67180.950000000026</v>
      </c>
      <c r="F6" s="2539"/>
      <c r="G6" s="2539"/>
      <c r="H6" s="2539"/>
      <c r="I6" s="2539"/>
      <c r="J6" s="2539"/>
      <c r="K6" s="2539"/>
      <c r="L6" s="2539"/>
      <c r="M6" s="2539"/>
      <c r="N6" s="2539"/>
      <c r="O6" s="2539"/>
      <c r="P6" s="2539"/>
    </row>
    <row r="7" spans="1:16" ht="15.75">
      <c r="A7" s="2390"/>
      <c r="B7" s="2383" t="e">
        <f ca="1">SUMIF(INDIRECT("'"&amp;A7&amp;"'"&amp;"!A:A"),"总价",INDIRECT("'"&amp;A7&amp;"'"&amp;"!B:B"))</f>
        <v>#REF!</v>
      </c>
      <c r="C7" s="1981"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1" t="s">
        <v>2074</v>
      </c>
      <c r="D8" s="2539"/>
      <c r="E8" s="2393" t="e">
        <f t="shared" ca="1" si="0"/>
        <v>#REF!</v>
      </c>
      <c r="F8" s="2539"/>
      <c r="G8" s="2539"/>
      <c r="H8" s="2539"/>
      <c r="I8" s="2539"/>
      <c r="J8" s="2539"/>
      <c r="K8" s="2539"/>
      <c r="L8" s="2539"/>
      <c r="M8" s="2539"/>
      <c r="N8" s="2539"/>
      <c r="O8" s="2539"/>
      <c r="P8" s="2539"/>
    </row>
    <row r="9" spans="1:16" ht="15.75">
      <c r="A9" s="2390"/>
      <c r="B9" s="2383" t="e">
        <f t="shared" ca="1" si="1"/>
        <v>#REF!</v>
      </c>
      <c r="C9" s="1981" t="s">
        <v>2074</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1" t="s">
        <v>2074</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1" t="s">
        <v>2074</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1" t="s">
        <v>2074</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1"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91" t="s">
        <v>2603</v>
      </c>
      <c r="B20" s="3484" t="s">
        <v>2624</v>
      </c>
      <c r="C20" s="2837" t="s">
        <v>2435</v>
      </c>
      <c r="D20" s="2838"/>
      <c r="E20" s="2839">
        <v>1</v>
      </c>
      <c r="F20" s="2840" t="s">
        <v>2436</v>
      </c>
      <c r="G20" s="2840"/>
    </row>
    <row r="21" spans="1:13" ht="19.5" customHeight="1">
      <c r="A21" s="3492"/>
      <c r="B21" s="3485"/>
      <c r="C21" s="2841" t="s">
        <v>2437</v>
      </c>
      <c r="D21" s="2842"/>
      <c r="E21" s="2843">
        <v>1</v>
      </c>
      <c r="F21" s="2840" t="s">
        <v>2438</v>
      </c>
      <c r="G21" s="2840"/>
    </row>
    <row r="22" spans="1:13" ht="19.5" customHeight="1">
      <c r="A22" s="3492"/>
      <c r="B22" s="3485"/>
      <c r="C22" s="2841" t="s">
        <v>2439</v>
      </c>
      <c r="D22" s="2842"/>
      <c r="E22" s="2843">
        <v>0.9</v>
      </c>
      <c r="F22" s="2840" t="s">
        <v>2440</v>
      </c>
      <c r="G22" s="2840"/>
    </row>
    <row r="23" spans="1:13" ht="19.5" customHeight="1">
      <c r="A23" s="3492"/>
      <c r="B23" s="3485"/>
      <c r="C23" s="2841" t="s">
        <v>2441</v>
      </c>
      <c r="D23" s="2842"/>
      <c r="E23" s="2843">
        <v>0.9</v>
      </c>
      <c r="F23" s="2840" t="s">
        <v>2442</v>
      </c>
      <c r="G23" s="2840"/>
    </row>
    <row r="24" spans="1:13" ht="19.5" customHeight="1">
      <c r="A24" s="3492"/>
      <c r="B24" s="3485"/>
      <c r="C24" s="2841" t="s">
        <v>2443</v>
      </c>
      <c r="D24" s="2842"/>
      <c r="E24" s="2843">
        <v>0.8</v>
      </c>
      <c r="F24" s="2840" t="s">
        <v>2444</v>
      </c>
      <c r="G24" s="2840"/>
    </row>
    <row r="25" spans="1:13" ht="19.5" customHeight="1" thickBot="1">
      <c r="A25" s="3493"/>
      <c r="B25" s="3486"/>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87" t="s">
        <v>2627</v>
      </c>
      <c r="B27" s="3484" t="s">
        <v>2608</v>
      </c>
      <c r="C27" s="2837" t="s">
        <v>2448</v>
      </c>
      <c r="D27" s="2838"/>
      <c r="E27" s="2839">
        <v>1</v>
      </c>
      <c r="F27" s="2840" t="s">
        <v>2449</v>
      </c>
      <c r="G27" s="2840"/>
    </row>
    <row r="28" spans="1:13" ht="19.5" customHeight="1">
      <c r="A28" s="3488"/>
      <c r="B28" s="3485"/>
      <c r="C28" s="2841" t="s">
        <v>2450</v>
      </c>
      <c r="D28" s="2842"/>
      <c r="E28" s="2843">
        <v>1</v>
      </c>
      <c r="F28" s="2840" t="s">
        <v>2451</v>
      </c>
      <c r="G28" s="2840"/>
    </row>
    <row r="29" spans="1:13" ht="19.5" customHeight="1">
      <c r="A29" s="3488"/>
      <c r="B29" s="3485"/>
      <c r="C29" s="2841" t="s">
        <v>2452</v>
      </c>
      <c r="D29" s="2842"/>
      <c r="E29" s="2843">
        <v>0.8</v>
      </c>
      <c r="F29" s="2840" t="s">
        <v>2453</v>
      </c>
      <c r="G29" s="2840"/>
    </row>
    <row r="30" spans="1:13" ht="19.5" customHeight="1">
      <c r="A30" s="3488"/>
      <c r="B30" s="3485"/>
      <c r="C30" s="2841" t="s">
        <v>2454</v>
      </c>
      <c r="D30" s="2842"/>
      <c r="E30" s="2843">
        <v>0.8</v>
      </c>
      <c r="F30" s="2840" t="s">
        <v>2455</v>
      </c>
      <c r="G30" s="2840"/>
    </row>
    <row r="31" spans="1:13" ht="19.5" customHeight="1">
      <c r="A31" s="3488"/>
      <c r="B31" s="3485"/>
      <c r="C31" s="2841" t="s">
        <v>2456</v>
      </c>
      <c r="D31" s="2842"/>
      <c r="E31" s="2843">
        <v>0.8</v>
      </c>
      <c r="F31" s="2840" t="s">
        <v>2457</v>
      </c>
      <c r="G31" s="2840"/>
    </row>
    <row r="32" spans="1:13" ht="19.5" customHeight="1">
      <c r="A32" s="3488"/>
      <c r="B32" s="3485"/>
      <c r="C32" s="2841" t="s">
        <v>2458</v>
      </c>
      <c r="D32" s="2842"/>
      <c r="E32" s="2843">
        <v>0.7</v>
      </c>
      <c r="F32" s="2840" t="s">
        <v>2459</v>
      </c>
      <c r="G32" s="2840"/>
    </row>
    <row r="33" spans="1:7" ht="19.5" customHeight="1">
      <c r="A33" s="3488"/>
      <c r="B33" s="3485"/>
      <c r="C33" s="2841" t="s">
        <v>2460</v>
      </c>
      <c r="D33" s="2842"/>
      <c r="E33" s="2843">
        <v>0.8</v>
      </c>
      <c r="F33" s="2840" t="s">
        <v>2461</v>
      </c>
      <c r="G33" s="2840"/>
    </row>
    <row r="34" spans="1:7" ht="19.5" customHeight="1">
      <c r="A34" s="3488"/>
      <c r="B34" s="3485"/>
      <c r="C34" s="2841" t="s">
        <v>2462</v>
      </c>
      <c r="D34" s="2842"/>
      <c r="E34" s="2843">
        <v>0.6</v>
      </c>
      <c r="F34" s="2840" t="s">
        <v>2463</v>
      </c>
      <c r="G34" s="2840"/>
    </row>
    <row r="35" spans="1:7" ht="19.5" customHeight="1">
      <c r="A35" s="3488"/>
      <c r="B35" s="3485"/>
      <c r="C35" s="2841" t="s">
        <v>2464</v>
      </c>
      <c r="D35" s="2842"/>
      <c r="E35" s="2843">
        <v>0.2</v>
      </c>
      <c r="F35" s="2840" t="s">
        <v>2465</v>
      </c>
      <c r="G35" s="2840"/>
    </row>
    <row r="36" spans="1:7" ht="19.5" customHeight="1">
      <c r="A36" s="3488"/>
      <c r="B36" s="3485"/>
      <c r="C36" s="2841" t="s">
        <v>2466</v>
      </c>
      <c r="D36" s="2842"/>
      <c r="E36" s="2843">
        <v>0.2</v>
      </c>
      <c r="F36" s="2840" t="s">
        <v>2467</v>
      </c>
      <c r="G36" s="2840"/>
    </row>
    <row r="37" spans="1:7" ht="19.5" customHeight="1">
      <c r="A37" s="3488"/>
      <c r="B37" s="3490" t="s">
        <v>2628</v>
      </c>
      <c r="C37" s="2841" t="s">
        <v>2468</v>
      </c>
      <c r="D37" s="2842"/>
      <c r="E37" s="2843">
        <v>0.6</v>
      </c>
      <c r="F37" s="2840" t="s">
        <v>2469</v>
      </c>
      <c r="G37" s="2840"/>
    </row>
    <row r="38" spans="1:7" ht="19.5" customHeight="1">
      <c r="A38" s="3488"/>
      <c r="B38" s="3485"/>
      <c r="C38" s="2841" t="s">
        <v>2470</v>
      </c>
      <c r="D38" s="2842"/>
      <c r="E38" s="2843">
        <v>0.6</v>
      </c>
      <c r="F38" s="2840" t="s">
        <v>2471</v>
      </c>
      <c r="G38" s="2840"/>
    </row>
    <row r="39" spans="1:7" ht="19.5" customHeight="1" thickBot="1">
      <c r="A39" s="3489"/>
      <c r="B39" s="3486"/>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91" t="s">
        <v>2606</v>
      </c>
      <c r="B41" s="3484" t="s">
        <v>2630</v>
      </c>
      <c r="C41" s="2837" t="s">
        <v>2475</v>
      </c>
      <c r="D41" s="2838"/>
      <c r="E41" s="2839">
        <v>1</v>
      </c>
      <c r="F41" s="2840" t="s">
        <v>2476</v>
      </c>
      <c r="G41" s="2840"/>
    </row>
    <row r="42" spans="1:7" ht="19.5" customHeight="1">
      <c r="A42" s="3492"/>
      <c r="B42" s="3485"/>
      <c r="C42" s="2841" t="s">
        <v>2477</v>
      </c>
      <c r="D42" s="2842"/>
      <c r="E42" s="2843">
        <v>1</v>
      </c>
      <c r="F42" s="2840" t="s">
        <v>2478</v>
      </c>
      <c r="G42" s="2840"/>
    </row>
    <row r="43" spans="1:7" ht="19.5" customHeight="1">
      <c r="A43" s="3492"/>
      <c r="B43" s="3494"/>
      <c r="C43" s="2841" t="s">
        <v>2479</v>
      </c>
      <c r="D43" s="2842"/>
      <c r="E43" s="2843">
        <v>1.5</v>
      </c>
      <c r="F43" s="2840" t="s">
        <v>2480</v>
      </c>
      <c r="G43" s="2840"/>
    </row>
    <row r="44" spans="1:7" ht="19.5" customHeight="1">
      <c r="A44" s="3492"/>
      <c r="B44" s="2852" t="s">
        <v>2631</v>
      </c>
      <c r="C44" s="2841" t="s">
        <v>2632</v>
      </c>
      <c r="D44" s="2842"/>
      <c r="E44" s="2843">
        <v>2</v>
      </c>
      <c r="F44" s="2840" t="s">
        <v>2481</v>
      </c>
      <c r="G44" s="2840"/>
    </row>
    <row r="45" spans="1:7" ht="19.5" customHeight="1">
      <c r="A45" s="3492"/>
      <c r="B45" s="3490" t="s">
        <v>2633</v>
      </c>
      <c r="C45" s="2841" t="s">
        <v>2482</v>
      </c>
      <c r="D45" s="2842"/>
      <c r="E45" s="2843">
        <v>1</v>
      </c>
      <c r="F45" s="2840" t="s">
        <v>2483</v>
      </c>
      <c r="G45" s="2840"/>
    </row>
    <row r="46" spans="1:7" ht="19.5" customHeight="1">
      <c r="A46" s="3492"/>
      <c r="B46" s="3485"/>
      <c r="C46" s="2841" t="s">
        <v>2484</v>
      </c>
      <c r="D46" s="2842"/>
      <c r="E46" s="2843">
        <v>1</v>
      </c>
      <c r="F46" s="2840" t="s">
        <v>2485</v>
      </c>
      <c r="G46" s="2840"/>
    </row>
    <row r="47" spans="1:7" ht="19.5" customHeight="1">
      <c r="A47" s="3492"/>
      <c r="B47" s="3485"/>
      <c r="C47" s="2841" t="s">
        <v>2486</v>
      </c>
      <c r="D47" s="2842"/>
      <c r="E47" s="2843">
        <v>1</v>
      </c>
      <c r="F47" s="2840" t="s">
        <v>2487</v>
      </c>
      <c r="G47" s="2840"/>
    </row>
    <row r="48" spans="1:7" ht="19.5" customHeight="1">
      <c r="A48" s="3492"/>
      <c r="B48" s="3485"/>
      <c r="C48" s="2841" t="s">
        <v>2488</v>
      </c>
      <c r="D48" s="2842"/>
      <c r="E48" s="2843">
        <v>1</v>
      </c>
      <c r="F48" s="2840" t="s">
        <v>2489</v>
      </c>
      <c r="G48" s="2840"/>
    </row>
    <row r="49" spans="1:7" ht="19.5" customHeight="1">
      <c r="A49" s="3492"/>
      <c r="B49" s="3485"/>
      <c r="C49" s="2841" t="s">
        <v>2490</v>
      </c>
      <c r="D49" s="2842"/>
      <c r="E49" s="2843">
        <v>1</v>
      </c>
      <c r="F49" s="2840" t="s">
        <v>2491</v>
      </c>
      <c r="G49" s="2840"/>
    </row>
    <row r="50" spans="1:7" ht="19.5" customHeight="1">
      <c r="A50" s="3492"/>
      <c r="B50" s="3485"/>
      <c r="C50" s="2841" t="s">
        <v>2492</v>
      </c>
      <c r="D50" s="2842"/>
      <c r="E50" s="2843">
        <v>1</v>
      </c>
      <c r="F50" s="2840" t="s">
        <v>2493</v>
      </c>
      <c r="G50" s="2840"/>
    </row>
    <row r="51" spans="1:7" ht="19.5" customHeight="1" thickBot="1">
      <c r="A51" s="3493"/>
      <c r="B51" s="3486"/>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3.5">
      <c r="A72" s="2852"/>
      <c r="B72" s="2852"/>
      <c r="C72" s="2852" t="s">
        <v>2646</v>
      </c>
      <c r="D72" s="2852"/>
      <c r="E72" s="2852" t="s">
        <v>2617</v>
      </c>
      <c r="F72" s="2852" t="s">
        <v>2617</v>
      </c>
    </row>
    <row r="73" spans="1:7" ht="13.5">
      <c r="A73" s="2852">
        <v>1</v>
      </c>
      <c r="B73" s="3490" t="s">
        <v>2647</v>
      </c>
      <c r="C73" s="2826" t="s">
        <v>2648</v>
      </c>
      <c r="D73" s="2826" t="s">
        <v>2649</v>
      </c>
      <c r="E73" s="2852">
        <v>0.2</v>
      </c>
      <c r="F73" s="2852">
        <v>25</v>
      </c>
    </row>
    <row r="74" spans="1:7" ht="24">
      <c r="A74" s="2852">
        <v>2</v>
      </c>
      <c r="B74" s="3485"/>
      <c r="C74" s="2826" t="s">
        <v>2650</v>
      </c>
      <c r="D74" s="2826" t="s">
        <v>2651</v>
      </c>
      <c r="E74" s="2852">
        <v>0.2</v>
      </c>
      <c r="F74" s="2852">
        <v>25</v>
      </c>
    </row>
    <row r="75" spans="1:7" ht="24">
      <c r="A75" s="2852">
        <v>3</v>
      </c>
      <c r="B75" s="3485"/>
      <c r="C75" s="2826" t="s">
        <v>2652</v>
      </c>
      <c r="D75" s="2826" t="s">
        <v>2653</v>
      </c>
      <c r="E75" s="2852">
        <v>0.2</v>
      </c>
      <c r="F75" s="2852">
        <v>25</v>
      </c>
    </row>
    <row r="76" spans="1:7" ht="13.5">
      <c r="A76" s="2852">
        <v>4</v>
      </c>
      <c r="B76" s="3485"/>
      <c r="C76" s="2826" t="s">
        <v>2654</v>
      </c>
      <c r="D76" s="2826" t="s">
        <v>2655</v>
      </c>
      <c r="E76" s="2852">
        <v>0.15</v>
      </c>
      <c r="F76" s="2852">
        <v>20</v>
      </c>
    </row>
    <row r="77" spans="1:7" ht="24">
      <c r="A77" s="2852">
        <v>5</v>
      </c>
      <c r="B77" s="3485"/>
      <c r="C77" s="2826" t="s">
        <v>2656</v>
      </c>
      <c r="D77" s="2826" t="s">
        <v>2657</v>
      </c>
      <c r="E77" s="2852">
        <v>0.15</v>
      </c>
      <c r="F77" s="2852">
        <v>20</v>
      </c>
    </row>
    <row r="78" spans="1:7" ht="24">
      <c r="A78" s="2852">
        <v>6</v>
      </c>
      <c r="B78" s="3485"/>
      <c r="C78" s="2826" t="s">
        <v>2658</v>
      </c>
      <c r="D78" s="2826" t="s">
        <v>2659</v>
      </c>
      <c r="E78" s="2852">
        <v>0.15</v>
      </c>
      <c r="F78" s="2852">
        <v>20</v>
      </c>
    </row>
    <row r="79" spans="1:7" ht="24">
      <c r="A79" s="2852">
        <v>7</v>
      </c>
      <c r="B79" s="3485"/>
      <c r="C79" s="2826" t="s">
        <v>2660</v>
      </c>
      <c r="D79" s="2826" t="s">
        <v>2661</v>
      </c>
      <c r="E79" s="2852">
        <v>0.15</v>
      </c>
      <c r="F79" s="2852">
        <v>20</v>
      </c>
    </row>
    <row r="80" spans="1:7" ht="24">
      <c r="A80" s="2852">
        <v>8</v>
      </c>
      <c r="B80" s="3485"/>
      <c r="C80" s="2826" t="s">
        <v>2662</v>
      </c>
      <c r="D80" s="2826" t="s">
        <v>2663</v>
      </c>
      <c r="E80" s="2852">
        <v>0.1</v>
      </c>
      <c r="F80" s="2852">
        <v>15</v>
      </c>
    </row>
    <row r="81" spans="1:6" ht="24">
      <c r="A81" s="2852">
        <v>9</v>
      </c>
      <c r="B81" s="3485"/>
      <c r="C81" s="2826" t="s">
        <v>2664</v>
      </c>
      <c r="D81" s="2826" t="s">
        <v>2665</v>
      </c>
      <c r="E81" s="2852">
        <v>0.1</v>
      </c>
      <c r="F81" s="2852">
        <v>15</v>
      </c>
    </row>
    <row r="82" spans="1:6" ht="24">
      <c r="A82" s="2852">
        <v>10</v>
      </c>
      <c r="B82" s="3485"/>
      <c r="C82" s="2826" t="s">
        <v>2666</v>
      </c>
      <c r="D82" s="2826" t="s">
        <v>2667</v>
      </c>
      <c r="E82" s="2852">
        <v>0.1</v>
      </c>
      <c r="F82" s="2852">
        <v>15</v>
      </c>
    </row>
    <row r="83" spans="1:6" ht="24">
      <c r="A83" s="2852">
        <v>11</v>
      </c>
      <c r="B83" s="3485"/>
      <c r="C83" s="2826" t="s">
        <v>2668</v>
      </c>
      <c r="D83" s="2826" t="s">
        <v>2669</v>
      </c>
      <c r="E83" s="2852">
        <v>0.1</v>
      </c>
      <c r="F83" s="2852">
        <v>15</v>
      </c>
    </row>
    <row r="84" spans="1:6" ht="24">
      <c r="A84" s="2852">
        <v>12</v>
      </c>
      <c r="B84" s="3485"/>
      <c r="C84" s="2826" t="s">
        <v>2670</v>
      </c>
      <c r="D84" s="2826" t="s">
        <v>2671</v>
      </c>
      <c r="E84" s="2852">
        <v>0.1</v>
      </c>
      <c r="F84" s="2852">
        <v>15</v>
      </c>
    </row>
    <row r="85" spans="1:6" ht="13.5">
      <c r="A85" s="2852">
        <v>13</v>
      </c>
      <c r="B85" s="3485"/>
      <c r="C85" s="2826" t="s">
        <v>2672</v>
      </c>
      <c r="D85" s="2826" t="s">
        <v>2673</v>
      </c>
      <c r="E85" s="2852">
        <v>0.1</v>
      </c>
      <c r="F85" s="2852">
        <v>15</v>
      </c>
    </row>
    <row r="86" spans="1:6" ht="13.5">
      <c r="A86" s="2852">
        <v>14</v>
      </c>
      <c r="B86" s="3485"/>
      <c r="C86" s="2826" t="s">
        <v>2674</v>
      </c>
      <c r="D86" s="2826" t="s">
        <v>2675</v>
      </c>
      <c r="E86" s="2852">
        <v>0.1</v>
      </c>
      <c r="F86" s="2852">
        <v>15</v>
      </c>
    </row>
    <row r="87" spans="1:6" ht="13.5">
      <c r="A87" s="2852">
        <v>15</v>
      </c>
      <c r="B87" s="3485"/>
      <c r="C87" s="2826" t="s">
        <v>2676</v>
      </c>
      <c r="D87" s="2826" t="s">
        <v>2677</v>
      </c>
      <c r="E87" s="2852">
        <v>0.1</v>
      </c>
      <c r="F87" s="2852">
        <v>15</v>
      </c>
    </row>
    <row r="88" spans="1:6" ht="24">
      <c r="A88" s="2852">
        <v>16</v>
      </c>
      <c r="B88" s="3485"/>
      <c r="C88" s="2826" t="s">
        <v>2678</v>
      </c>
      <c r="D88" s="2826" t="s">
        <v>2679</v>
      </c>
      <c r="E88" s="2852">
        <v>0.1</v>
      </c>
      <c r="F88" s="2852">
        <v>15</v>
      </c>
    </row>
    <row r="89" spans="1:6" ht="24">
      <c r="A89" s="2852">
        <v>17</v>
      </c>
      <c r="B89" s="3494"/>
      <c r="C89" s="2826" t="s">
        <v>2680</v>
      </c>
      <c r="D89" s="2826" t="s">
        <v>2681</v>
      </c>
      <c r="E89" s="2852">
        <v>0.1</v>
      </c>
      <c r="F89" s="2852">
        <v>15</v>
      </c>
    </row>
    <row r="90" spans="1:6" ht="13.5">
      <c r="A90" s="2852">
        <v>18</v>
      </c>
      <c r="B90" s="3490" t="s">
        <v>2682</v>
      </c>
      <c r="C90" s="2826" t="s">
        <v>2683</v>
      </c>
      <c r="D90" s="2826" t="s">
        <v>2684</v>
      </c>
      <c r="E90" s="2852">
        <v>0.2</v>
      </c>
      <c r="F90" s="2852">
        <v>25</v>
      </c>
    </row>
    <row r="91" spans="1:6" ht="24">
      <c r="A91" s="2852">
        <v>19</v>
      </c>
      <c r="B91" s="3485"/>
      <c r="C91" s="2826" t="s">
        <v>2685</v>
      </c>
      <c r="D91" s="2826" t="s">
        <v>2686</v>
      </c>
      <c r="E91" s="2852">
        <v>0.2</v>
      </c>
      <c r="F91" s="2852">
        <v>25</v>
      </c>
    </row>
    <row r="92" spans="1:6" ht="13.5">
      <c r="A92" s="2852">
        <v>20</v>
      </c>
      <c r="B92" s="3485"/>
      <c r="C92" s="2826" t="s">
        <v>2687</v>
      </c>
      <c r="D92" s="2826" t="s">
        <v>2688</v>
      </c>
      <c r="E92" s="2852">
        <v>0.15</v>
      </c>
      <c r="F92" s="2852">
        <v>20</v>
      </c>
    </row>
    <row r="93" spans="1:6" ht="13.5">
      <c r="A93" s="2852">
        <v>21</v>
      </c>
      <c r="B93" s="3485"/>
      <c r="C93" s="2826" t="s">
        <v>2689</v>
      </c>
      <c r="D93" s="2826" t="s">
        <v>2690</v>
      </c>
      <c r="E93" s="2852">
        <v>0.15</v>
      </c>
      <c r="F93" s="2852">
        <v>20</v>
      </c>
    </row>
    <row r="94" spans="1:6" ht="13.5">
      <c r="A94" s="2852">
        <v>22</v>
      </c>
      <c r="B94" s="3485"/>
      <c r="C94" s="2826" t="s">
        <v>2691</v>
      </c>
      <c r="D94" s="2826" t="s">
        <v>2692</v>
      </c>
      <c r="E94" s="2852">
        <v>0.15</v>
      </c>
      <c r="F94" s="2852">
        <v>20</v>
      </c>
    </row>
    <row r="95" spans="1:6" ht="36">
      <c r="A95" s="2852">
        <v>23</v>
      </c>
      <c r="B95" s="3485"/>
      <c r="C95" s="2826" t="s">
        <v>2693</v>
      </c>
      <c r="D95" s="2826" t="s">
        <v>2694</v>
      </c>
      <c r="E95" s="2852">
        <v>0.15</v>
      </c>
      <c r="F95" s="2852">
        <v>20</v>
      </c>
    </row>
    <row r="96" spans="1:6" ht="13.5">
      <c r="A96" s="2852">
        <v>24</v>
      </c>
      <c r="B96" s="3485"/>
      <c r="C96" s="2826" t="s">
        <v>2695</v>
      </c>
      <c r="D96" s="2826" t="s">
        <v>2696</v>
      </c>
      <c r="E96" s="2852">
        <v>0.1</v>
      </c>
      <c r="F96" s="2852">
        <v>15</v>
      </c>
    </row>
    <row r="97" spans="1:6" ht="13.5">
      <c r="A97" s="2852">
        <v>25</v>
      </c>
      <c r="B97" s="3485"/>
      <c r="C97" s="2826" t="s">
        <v>2697</v>
      </c>
      <c r="D97" s="2826" t="s">
        <v>2698</v>
      </c>
      <c r="E97" s="2852">
        <v>0.1</v>
      </c>
      <c r="F97" s="2852">
        <v>15</v>
      </c>
    </row>
    <row r="98" spans="1:6" ht="24">
      <c r="A98" s="2852">
        <v>26</v>
      </c>
      <c r="B98" s="3485"/>
      <c r="C98" s="2826" t="s">
        <v>2699</v>
      </c>
      <c r="D98" s="2826" t="s">
        <v>2700</v>
      </c>
      <c r="E98" s="2852">
        <v>0.1</v>
      </c>
      <c r="F98" s="2852">
        <v>15</v>
      </c>
    </row>
    <row r="99" spans="1:6" ht="24">
      <c r="A99" s="2852">
        <v>27</v>
      </c>
      <c r="B99" s="3485"/>
      <c r="C99" s="2826" t="s">
        <v>2701</v>
      </c>
      <c r="D99" s="2826" t="s">
        <v>2702</v>
      </c>
      <c r="E99" s="2852">
        <v>0.1</v>
      </c>
      <c r="F99" s="2852">
        <v>15</v>
      </c>
    </row>
    <row r="100" spans="1:6" ht="13.5">
      <c r="A100" s="2852">
        <v>28</v>
      </c>
      <c r="B100" s="3485"/>
      <c r="C100" s="2826" t="s">
        <v>2703</v>
      </c>
      <c r="D100" s="2826" t="s">
        <v>2704</v>
      </c>
      <c r="E100" s="2852">
        <v>0.1</v>
      </c>
      <c r="F100" s="2852">
        <v>15</v>
      </c>
    </row>
    <row r="101" spans="1:6" ht="13.5">
      <c r="A101" s="2852">
        <v>29</v>
      </c>
      <c r="B101" s="3485"/>
      <c r="C101" s="2826" t="s">
        <v>2705</v>
      </c>
      <c r="D101" s="2826" t="s">
        <v>2706</v>
      </c>
      <c r="E101" s="2852">
        <v>0.1</v>
      </c>
      <c r="F101" s="2852">
        <v>15</v>
      </c>
    </row>
    <row r="102" spans="1:6" ht="13.5">
      <c r="A102" s="2852">
        <v>30</v>
      </c>
      <c r="B102" s="3485"/>
      <c r="C102" s="2826" t="s">
        <v>2707</v>
      </c>
      <c r="D102" s="2826" t="s">
        <v>2708</v>
      </c>
      <c r="E102" s="2852">
        <v>0.1</v>
      </c>
      <c r="F102" s="2852">
        <v>15</v>
      </c>
    </row>
    <row r="103" spans="1:6" ht="24">
      <c r="A103" s="2852">
        <v>31</v>
      </c>
      <c r="B103" s="3485"/>
      <c r="C103" s="2826" t="s">
        <v>2709</v>
      </c>
      <c r="D103" s="2826" t="s">
        <v>2710</v>
      </c>
      <c r="E103" s="2852">
        <v>0.1</v>
      </c>
      <c r="F103" s="2852">
        <v>15</v>
      </c>
    </row>
    <row r="104" spans="1:6" ht="24">
      <c r="A104" s="2852">
        <v>32</v>
      </c>
      <c r="B104" s="3485"/>
      <c r="C104" s="2826" t="s">
        <v>2711</v>
      </c>
      <c r="D104" s="2826" t="s">
        <v>2712</v>
      </c>
      <c r="E104" s="2852">
        <v>0.1</v>
      </c>
      <c r="F104" s="2852">
        <v>15</v>
      </c>
    </row>
    <row r="105" spans="1:6" ht="24">
      <c r="A105" s="2852">
        <v>33</v>
      </c>
      <c r="B105" s="3485"/>
      <c r="C105" s="2826" t="s">
        <v>2713</v>
      </c>
      <c r="D105" s="2826" t="s">
        <v>2714</v>
      </c>
      <c r="E105" s="2852">
        <v>0.1</v>
      </c>
      <c r="F105" s="2852">
        <v>15</v>
      </c>
    </row>
    <row r="106" spans="1:6" ht="24">
      <c r="A106" s="2852">
        <v>34</v>
      </c>
      <c r="B106" s="3494"/>
      <c r="C106" s="2826" t="s">
        <v>2715</v>
      </c>
      <c r="D106" s="2826" t="s">
        <v>2716</v>
      </c>
      <c r="E106" s="2852">
        <v>0.1</v>
      </c>
      <c r="F106" s="2852">
        <v>15</v>
      </c>
    </row>
    <row r="107" spans="1:6" ht="24">
      <c r="A107" s="2852">
        <v>35</v>
      </c>
      <c r="B107" s="3490" t="s">
        <v>2717</v>
      </c>
      <c r="C107" s="2852" t="s">
        <v>2718</v>
      </c>
      <c r="D107" s="2826" t="s">
        <v>2719</v>
      </c>
      <c r="E107" s="2852">
        <v>0.15</v>
      </c>
      <c r="F107" s="2852">
        <v>20</v>
      </c>
    </row>
    <row r="108" spans="1:6" ht="13.5">
      <c r="A108" s="2852">
        <v>36</v>
      </c>
      <c r="B108" s="3485"/>
      <c r="C108" s="2852" t="s">
        <v>2720</v>
      </c>
      <c r="D108" s="2826" t="s">
        <v>2721</v>
      </c>
      <c r="E108" s="2852">
        <v>0.15</v>
      </c>
      <c r="F108" s="2852">
        <v>20</v>
      </c>
    </row>
    <row r="109" spans="1:6" ht="13.5">
      <c r="A109" s="2852">
        <v>37</v>
      </c>
      <c r="B109" s="3485"/>
      <c r="C109" s="2852" t="s">
        <v>2722</v>
      </c>
      <c r="D109" s="2826" t="s">
        <v>2723</v>
      </c>
      <c r="E109" s="2852">
        <v>0.15</v>
      </c>
      <c r="F109" s="2852">
        <v>20</v>
      </c>
    </row>
    <row r="110" spans="1:6" ht="13.5">
      <c r="A110" s="2852">
        <v>38</v>
      </c>
      <c r="B110" s="3485"/>
      <c r="C110" s="2852" t="s">
        <v>2724</v>
      </c>
      <c r="D110" s="2826" t="s">
        <v>2725</v>
      </c>
      <c r="E110" s="2852">
        <v>0.1</v>
      </c>
      <c r="F110" s="2852">
        <v>15</v>
      </c>
    </row>
    <row r="111" spans="1:6" ht="24">
      <c r="A111" s="2852">
        <v>39</v>
      </c>
      <c r="B111" s="3485"/>
      <c r="C111" s="2852" t="s">
        <v>2726</v>
      </c>
      <c r="D111" s="2826" t="s">
        <v>2727</v>
      </c>
      <c r="E111" s="2852">
        <v>0.1</v>
      </c>
      <c r="F111" s="2852">
        <v>15</v>
      </c>
    </row>
    <row r="112" spans="1:6" ht="24">
      <c r="A112" s="2852">
        <v>40</v>
      </c>
      <c r="B112" s="3494"/>
      <c r="C112" s="2852" t="s">
        <v>2728</v>
      </c>
      <c r="D112" s="2826" t="s">
        <v>2729</v>
      </c>
      <c r="E112" s="2852">
        <v>0.1</v>
      </c>
      <c r="F112" s="2852">
        <v>15</v>
      </c>
    </row>
    <row r="113" spans="1:6" ht="13.5">
      <c r="A113" s="2852">
        <v>41</v>
      </c>
      <c r="B113" s="3495" t="s">
        <v>2730</v>
      </c>
      <c r="C113" s="2852" t="s">
        <v>2731</v>
      </c>
      <c r="D113" s="2826" t="s">
        <v>2732</v>
      </c>
      <c r="E113" s="2852">
        <v>0.1</v>
      </c>
      <c r="F113" s="2852">
        <v>15</v>
      </c>
    </row>
    <row r="114" spans="1:6" ht="13.5">
      <c r="A114" s="2852">
        <v>42</v>
      </c>
      <c r="B114" s="3495"/>
      <c r="C114" s="2852" t="s">
        <v>2733</v>
      </c>
      <c r="D114" s="2826" t="s">
        <v>2734</v>
      </c>
      <c r="E114" s="2852">
        <v>0.1</v>
      </c>
      <c r="F114" s="2852">
        <v>15</v>
      </c>
    </row>
    <row r="115" spans="1:6" ht="24">
      <c r="A115" s="2852">
        <v>43</v>
      </c>
      <c r="B115" s="3495"/>
      <c r="C115" s="2852" t="s">
        <v>2735</v>
      </c>
      <c r="D115" s="2826" t="s">
        <v>2736</v>
      </c>
      <c r="E115" s="2852">
        <v>0.1</v>
      </c>
      <c r="F115" s="2852">
        <v>15</v>
      </c>
    </row>
    <row r="116" spans="1:6" ht="13.5">
      <c r="A116" s="2852">
        <v>44</v>
      </c>
      <c r="B116" s="3490" t="s">
        <v>2737</v>
      </c>
      <c r="C116" s="2852" t="s">
        <v>2738</v>
      </c>
      <c r="D116" s="2826" t="s">
        <v>2739</v>
      </c>
      <c r="E116" s="2852">
        <v>0.1</v>
      </c>
      <c r="F116" s="2852">
        <v>15</v>
      </c>
    </row>
    <row r="117" spans="1:6" ht="24">
      <c r="A117" s="2852">
        <v>45</v>
      </c>
      <c r="B117" s="3494"/>
      <c r="C117" s="2826" t="s">
        <v>2740</v>
      </c>
      <c r="D117" s="2826" t="s">
        <v>2741</v>
      </c>
      <c r="E117" s="2852">
        <v>0.1</v>
      </c>
      <c r="F117" s="2852">
        <v>15</v>
      </c>
    </row>
    <row r="118" spans="1:6" ht="24">
      <c r="A118" s="2852">
        <v>46</v>
      </c>
      <c r="B118" s="3490" t="s">
        <v>2742</v>
      </c>
      <c r="C118" s="2852" t="s">
        <v>2743</v>
      </c>
      <c r="D118" s="2826" t="s">
        <v>2744</v>
      </c>
      <c r="E118" s="2852">
        <v>0.1</v>
      </c>
      <c r="F118" s="2852">
        <v>15</v>
      </c>
    </row>
    <row r="119" spans="1:6" ht="24">
      <c r="A119" s="2852">
        <v>47</v>
      </c>
      <c r="B119" s="3494"/>
      <c r="C119" s="2852" t="s">
        <v>2745</v>
      </c>
      <c r="D119" s="2826" t="s">
        <v>2746</v>
      </c>
      <c r="E119" s="2852">
        <v>0.1</v>
      </c>
      <c r="F119" s="2852">
        <v>15</v>
      </c>
    </row>
    <row r="120" spans="1:6" ht="13.5">
      <c r="A120" s="2852">
        <v>48</v>
      </c>
      <c r="B120" s="3490" t="s">
        <v>2747</v>
      </c>
      <c r="C120" s="2852" t="s">
        <v>2748</v>
      </c>
      <c r="D120" s="2826" t="s">
        <v>2749</v>
      </c>
      <c r="E120" s="2852">
        <v>0.1</v>
      </c>
      <c r="F120" s="2852">
        <v>15</v>
      </c>
    </row>
    <row r="121" spans="1:6" ht="13.5">
      <c r="A121" s="2852">
        <v>49</v>
      </c>
      <c r="B121" s="3494"/>
      <c r="C121" s="2852" t="s">
        <v>2750</v>
      </c>
      <c r="D121" s="2826" t="s">
        <v>2751</v>
      </c>
      <c r="E121" s="2852">
        <v>0.1</v>
      </c>
      <c r="F121" s="2852">
        <v>15</v>
      </c>
    </row>
    <row r="122" spans="1:6" ht="24">
      <c r="A122" s="2852">
        <v>50</v>
      </c>
      <c r="B122" s="3495" t="s">
        <v>2752</v>
      </c>
      <c r="C122" s="2852" t="s">
        <v>2753</v>
      </c>
      <c r="D122" s="2826" t="s">
        <v>2754</v>
      </c>
      <c r="E122" s="2852">
        <v>0.1</v>
      </c>
      <c r="F122" s="2852">
        <v>15</v>
      </c>
    </row>
    <row r="123" spans="1:6" ht="24">
      <c r="A123" s="2852">
        <v>51</v>
      </c>
      <c r="B123" s="3495"/>
      <c r="C123" s="2852" t="s">
        <v>2755</v>
      </c>
      <c r="D123" s="2826" t="s">
        <v>2756</v>
      </c>
      <c r="E123" s="2852">
        <v>0.1</v>
      </c>
      <c r="F123" s="2852">
        <v>15</v>
      </c>
    </row>
    <row r="124" spans="1:6" ht="24">
      <c r="A124" s="2852">
        <v>52</v>
      </c>
      <c r="B124" s="3495" t="s">
        <v>2757</v>
      </c>
      <c r="C124" s="2852" t="s">
        <v>2758</v>
      </c>
      <c r="D124" s="2826" t="s">
        <v>2759</v>
      </c>
      <c r="E124" s="2852">
        <v>0.1</v>
      </c>
      <c r="F124" s="2852">
        <v>15</v>
      </c>
    </row>
    <row r="125" spans="1:6" ht="24">
      <c r="A125" s="2852">
        <v>53</v>
      </c>
      <c r="B125" s="3495"/>
      <c r="C125" s="2852" t="s">
        <v>2760</v>
      </c>
      <c r="D125" s="2826" t="s">
        <v>2761</v>
      </c>
      <c r="E125" s="2852">
        <v>0.1</v>
      </c>
      <c r="F125" s="2852">
        <v>15</v>
      </c>
    </row>
    <row r="126" spans="1:6" ht="13.5">
      <c r="A126" s="2852">
        <v>54</v>
      </c>
      <c r="B126" s="2852" t="s">
        <v>2762</v>
      </c>
      <c r="C126" s="2852" t="s">
        <v>2763</v>
      </c>
      <c r="D126" s="2826" t="s">
        <v>2764</v>
      </c>
      <c r="E126" s="2852">
        <v>0.1</v>
      </c>
      <c r="F126" s="2852">
        <v>15</v>
      </c>
    </row>
    <row r="127" spans="1:6" ht="13.5">
      <c r="A127" s="2852">
        <v>55</v>
      </c>
      <c r="B127" s="3495" t="s">
        <v>2765</v>
      </c>
      <c r="C127" s="2852" t="s">
        <v>2766</v>
      </c>
      <c r="D127" s="2826" t="s">
        <v>2767</v>
      </c>
      <c r="E127" s="2852">
        <v>0.1</v>
      </c>
      <c r="F127" s="2852">
        <v>15</v>
      </c>
    </row>
    <row r="128" spans="1:6" ht="13.5">
      <c r="A128" s="2852">
        <v>56</v>
      </c>
      <c r="B128" s="3495"/>
      <c r="C128" s="2852" t="s">
        <v>2768</v>
      </c>
      <c r="D128" s="2826" t="s">
        <v>2769</v>
      </c>
      <c r="E128" s="2852">
        <v>0.1</v>
      </c>
      <c r="F128" s="2852">
        <v>15</v>
      </c>
    </row>
    <row r="129" spans="1:6" ht="24">
      <c r="A129" s="2852">
        <v>57</v>
      </c>
      <c r="B129" s="3495"/>
      <c r="C129" s="2852" t="s">
        <v>2770</v>
      </c>
      <c r="D129" s="2826" t="s">
        <v>2771</v>
      </c>
      <c r="E129" s="2852">
        <v>0.1</v>
      </c>
      <c r="F129" s="2852">
        <v>15</v>
      </c>
    </row>
    <row r="130" spans="1:6" ht="24">
      <c r="A130" s="2852">
        <v>58</v>
      </c>
      <c r="B130" s="3495" t="s">
        <v>2772</v>
      </c>
      <c r="C130" s="2852" t="s">
        <v>2773</v>
      </c>
      <c r="D130" s="2826" t="s">
        <v>2774</v>
      </c>
      <c r="E130" s="2852">
        <v>0.1</v>
      </c>
      <c r="F130" s="2852">
        <v>15</v>
      </c>
    </row>
    <row r="131" spans="1:6" ht="13.5">
      <c r="A131" s="2852">
        <v>59</v>
      </c>
      <c r="B131" s="3495"/>
      <c r="C131" s="2852" t="s">
        <v>2775</v>
      </c>
      <c r="D131" s="2826" t="s">
        <v>2776</v>
      </c>
      <c r="E131" s="2852">
        <v>0.1</v>
      </c>
      <c r="F131" s="2852">
        <v>15</v>
      </c>
    </row>
    <row r="132" spans="1:6" ht="13.5">
      <c r="A132" s="2852">
        <v>60</v>
      </c>
      <c r="B132" s="3490" t="s">
        <v>2777</v>
      </c>
      <c r="C132" s="2852" t="s">
        <v>2778</v>
      </c>
      <c r="D132" s="2826" t="s">
        <v>2779</v>
      </c>
      <c r="E132" s="2852">
        <v>0.1</v>
      </c>
      <c r="F132" s="2852">
        <v>15</v>
      </c>
    </row>
    <row r="133" spans="1:6" ht="13.5">
      <c r="A133" s="2852">
        <v>61</v>
      </c>
      <c r="B133" s="3494"/>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13.5">
      <c r="A135" s="2852">
        <v>63</v>
      </c>
      <c r="B135" s="3495" t="s">
        <v>2785</v>
      </c>
      <c r="C135" s="2852" t="s">
        <v>2786</v>
      </c>
      <c r="D135" s="2826" t="s">
        <v>2787</v>
      </c>
      <c r="E135" s="2852">
        <v>0.1</v>
      </c>
      <c r="F135" s="2852">
        <v>15</v>
      </c>
    </row>
    <row r="136" spans="1:6" ht="13.5">
      <c r="A136" s="2852">
        <v>64</v>
      </c>
      <c r="B136" s="3495"/>
      <c r="C136" s="2852" t="s">
        <v>2788</v>
      </c>
      <c r="D136" s="2826" t="s">
        <v>2789</v>
      </c>
      <c r="E136" s="2852">
        <v>0.1</v>
      </c>
      <c r="F136" s="2852">
        <v>15</v>
      </c>
    </row>
    <row r="137" spans="1:6" ht="13.5">
      <c r="A137" s="2852">
        <v>65</v>
      </c>
      <c r="B137" s="2852" t="s">
        <v>2790</v>
      </c>
      <c r="C137" s="2852" t="s">
        <v>2791</v>
      </c>
      <c r="D137" s="2826" t="s">
        <v>2792</v>
      </c>
      <c r="E137" s="2852">
        <v>0.1</v>
      </c>
      <c r="F137" s="2852">
        <v>15</v>
      </c>
    </row>
    <row r="138" spans="1:6" ht="13.5">
      <c r="A138" s="2852"/>
      <c r="B138" s="2852"/>
      <c r="C138" s="2852"/>
      <c r="D138" s="2852"/>
      <c r="E138" s="2852" t="s">
        <v>2793</v>
      </c>
      <c r="F138" s="2852"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2794</v>
      </c>
      <c r="B1" s="2860"/>
      <c r="C1" s="2860"/>
      <c r="D1" s="2860"/>
      <c r="E1" s="2860"/>
      <c r="F1" s="2860"/>
      <c r="G1" s="2860"/>
      <c r="H1" s="2860"/>
      <c r="I1" s="2860"/>
      <c r="J1" s="2860"/>
      <c r="K1" s="2860"/>
      <c r="L1" s="2860"/>
      <c r="M1" s="2860"/>
      <c r="N1" s="704"/>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0.91269999999999996</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4"/>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4"/>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0.86819999999999997</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88"/>
      <c r="B4" s="3183" t="s">
        <v>917</v>
      </c>
      <c r="C4" s="3183"/>
      <c r="D4" s="3183"/>
      <c r="E4" s="1388"/>
    </row>
    <row r="5" spans="1:5" ht="16.5" thickTop="1">
      <c r="B5" s="3181" t="s">
        <v>909</v>
      </c>
      <c r="C5" s="1389" t="s">
        <v>910</v>
      </c>
      <c r="D5" s="794">
        <f ca="1">结果表!H101</f>
        <v>170211</v>
      </c>
    </row>
    <row r="6" spans="1:5" ht="15.75">
      <c r="B6" s="3181"/>
      <c r="C6" s="1389" t="s">
        <v>911</v>
      </c>
      <c r="D6" s="794" t="str">
        <f ca="1">NUMBERSTRING(INT(D5*10000),2)&amp;"元整"</f>
        <v>壹拾柒亿零贰佰壹拾壹万元整</v>
      </c>
    </row>
    <row r="7" spans="1:5" ht="15.75">
      <c r="B7" s="3186"/>
      <c r="C7" s="1390" t="s">
        <v>912</v>
      </c>
      <c r="D7" s="795">
        <f ca="1">结果表!H102</f>
        <v>25336</v>
      </c>
    </row>
    <row r="8" spans="1:5" ht="15.75">
      <c r="B8" s="3187" t="str">
        <f>结果表!E103</f>
        <v>2.估价师知悉的法定优先受偿款</v>
      </c>
      <c r="C8" s="1391" t="s">
        <v>913</v>
      </c>
      <c r="D8" s="795">
        <f>结果表!H103</f>
        <v>0</v>
      </c>
    </row>
    <row r="9" spans="1:5" ht="15.75">
      <c r="B9" s="3189"/>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80" t="str">
        <f>结果表!E107</f>
        <v>3.房地产抵押价值</v>
      </c>
      <c r="C13" s="1394" t="s">
        <v>910</v>
      </c>
      <c r="D13" s="797">
        <f ca="1">结果表!H107</f>
        <v>170211</v>
      </c>
    </row>
    <row r="14" spans="1:5" ht="15.75">
      <c r="B14" s="3181"/>
      <c r="C14" s="1389" t="s">
        <v>911</v>
      </c>
      <c r="D14" s="794" t="str">
        <f ca="1">NUMBERSTRING(INT(D13*10000),2)&amp;"元整"</f>
        <v>壹拾柒亿零贰佰壹拾壹万元整</v>
      </c>
    </row>
    <row r="15" spans="1:5" ht="15">
      <c r="B15" s="3186"/>
      <c r="C15" s="1390" t="s">
        <v>921</v>
      </c>
      <c r="D15" s="803">
        <f ca="1">结果表!H108</f>
        <v>25336</v>
      </c>
    </row>
    <row r="16" spans="1:5" ht="15">
      <c r="B16" s="3187" t="str">
        <f>结果表!E109</f>
        <v>——</v>
      </c>
      <c r="C16" s="1394" t="s">
        <v>922</v>
      </c>
      <c r="D16" s="1395" t="str">
        <f>结果表!H109</f>
        <v>——</v>
      </c>
    </row>
    <row r="17" spans="1:5" ht="15.75">
      <c r="B17" s="3188"/>
      <c r="C17" s="1389" t="s">
        <v>923</v>
      </c>
      <c r="D17" s="794" t="e">
        <f>NUMBERSTRING(INT(D16*10000),2)&amp;"元整"</f>
        <v>#VALUE!</v>
      </c>
    </row>
    <row r="18" spans="1:5" ht="15">
      <c r="B18" s="3189"/>
      <c r="C18" s="1390" t="s">
        <v>912</v>
      </c>
      <c r="D18" s="803" t="str">
        <f>结果表!H110</f>
        <v>——</v>
      </c>
    </row>
    <row r="19" spans="1:5" ht="15.75">
      <c r="B19" s="3180" t="str">
        <f>结果表!E111</f>
        <v>——</v>
      </c>
      <c r="C19" s="1394" t="s">
        <v>910</v>
      </c>
      <c r="D19" s="795" t="str">
        <f>结果表!H111</f>
        <v>——</v>
      </c>
    </row>
    <row r="20" spans="1:5" ht="15.75">
      <c r="B20" s="3181"/>
      <c r="C20" s="1389" t="s">
        <v>923</v>
      </c>
      <c r="D20" s="794" t="e">
        <f>NUMBERSTRING(INT(D19*10000),2)&amp;"元整"</f>
        <v>#VALUE!</v>
      </c>
    </row>
    <row r="21" spans="1:5" ht="15.75" thickBot="1">
      <c r="B21" s="3182"/>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87589</v>
      </c>
      <c r="C2" s="2" t="s">
        <v>106</v>
      </c>
      <c r="D2" s="189"/>
      <c r="E2" s="189"/>
      <c r="F2" s="189"/>
      <c r="G2" s="189"/>
    </row>
    <row r="3" spans="1:7" s="190" customFormat="1" ht="18" customHeight="1" thickBot="1">
      <c r="A3" s="193" t="s">
        <v>58</v>
      </c>
      <c r="B3" s="194">
        <f ca="1">ROUND(B2*10000/'数据-汇总表'!E3,0)</f>
        <v>13038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0</v>
      </c>
      <c r="F9" s="211"/>
      <c r="G9" s="216"/>
    </row>
    <row r="10" spans="1:7" s="204" customFormat="1" ht="13.5" customHeight="1">
      <c r="A10" s="730" t="s">
        <v>356</v>
      </c>
      <c r="B10" s="214" t="s">
        <v>67</v>
      </c>
      <c r="C10" s="215">
        <f>ROUND(D10*E10/10000,0)</f>
        <v>1344</v>
      </c>
      <c r="D10" s="792">
        <f>'数据-汇总表'!E6</f>
        <v>67180.950000000026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1344</v>
      </c>
      <c r="D19" s="202">
        <f>'数据-汇总表'!E3</f>
        <v>67180.950000000026</v>
      </c>
      <c r="E19" s="201">
        <f>'数据-取费表'!B31</f>
        <v>200</v>
      </c>
      <c r="F19" s="221"/>
      <c r="G19" s="1" t="s">
        <v>436</v>
      </c>
    </row>
    <row r="20" spans="1:7" s="204" customFormat="1" ht="13.5" customHeight="1">
      <c r="A20" s="728" t="s">
        <v>419</v>
      </c>
      <c r="B20" s="200" t="s">
        <v>77</v>
      </c>
      <c r="C20" s="222">
        <f>ROUND((C5+C19)*F20,0)</f>
        <v>878</v>
      </c>
      <c r="D20" s="222"/>
      <c r="E20" s="222"/>
      <c r="F20" s="223">
        <f>'数据-取费表'!B37</f>
        <v>0.04</v>
      </c>
      <c r="G20" s="1001" t="s">
        <v>430</v>
      </c>
    </row>
    <row r="21" spans="1:7" s="204" customFormat="1" ht="13.5" customHeight="1">
      <c r="A21" s="728" t="s">
        <v>421</v>
      </c>
      <c r="B21" s="200" t="s">
        <v>78</v>
      </c>
      <c r="C21" s="225">
        <f>F21</f>
        <v>2.5000000000000001E-2</v>
      </c>
      <c r="D21" s="226" t="s">
        <v>99</v>
      </c>
      <c r="E21" s="222"/>
      <c r="F21" s="223">
        <f>'数据-取费表'!B38</f>
        <v>2.5000000000000001E-2</v>
      </c>
      <c r="G21" s="224" t="s">
        <v>79</v>
      </c>
    </row>
    <row r="22" spans="1:7" s="204" customFormat="1" ht="13.5" customHeight="1">
      <c r="A22" s="728" t="s">
        <v>341</v>
      </c>
      <c r="B22" s="200" t="s">
        <v>80</v>
      </c>
      <c r="C22" s="1038">
        <f ca="1">ROUND(SUM(C23:C25),0)</f>
        <v>2147</v>
      </c>
      <c r="D22" s="225">
        <f ca="1">C26</f>
        <v>1.1999999999999999E-3</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1977</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129</v>
      </c>
      <c r="D24" s="228"/>
      <c r="E24" s="228"/>
      <c r="F24" s="229"/>
      <c r="G24" s="230" t="s">
        <v>82</v>
      </c>
    </row>
    <row r="25" spans="1:7" s="204" customFormat="1" ht="24">
      <c r="A25" s="731" t="s">
        <v>348</v>
      </c>
      <c r="B25" s="205" t="s">
        <v>420</v>
      </c>
      <c r="C25" s="1039">
        <f ca="1">ROUND(IF('数据-取费表'!B22&lt;=1,C20*F22*'数据-取费表'!B23/2,C20*(POWER((1+F22),'数据-取费表'!B23/2)-1)),0)</f>
        <v>41</v>
      </c>
      <c r="D25" s="228"/>
      <c r="E25" s="231"/>
      <c r="F25" s="229"/>
      <c r="G25" s="232" t="s">
        <v>83</v>
      </c>
    </row>
    <row r="26" spans="1:7" s="204" customFormat="1">
      <c r="A26" s="731" t="s">
        <v>350</v>
      </c>
      <c r="B26" s="205" t="s">
        <v>422</v>
      </c>
      <c r="C26" s="228">
        <f ca="1">ROUND(IF('数据-取费表'!B22&lt;=1,F21*F22*'数据-取费表'!B23/2,F21*(POWER((1+F22),'数据-取费表'!B23/2)-1)),4)</f>
        <v>1.1999999999999999E-3</v>
      </c>
      <c r="D26" s="228"/>
      <c r="E26" s="231"/>
      <c r="F26" s="229"/>
      <c r="G26" s="233"/>
    </row>
    <row r="27" spans="1:7" s="204" customFormat="1" ht="24.75">
      <c r="A27" s="728" t="s">
        <v>342</v>
      </c>
      <c r="B27" s="234" t="s">
        <v>85</v>
      </c>
      <c r="C27" s="235">
        <f>C28</f>
        <v>4566</v>
      </c>
      <c r="D27" s="225">
        <f>C29</f>
        <v>5.0000000000000001E-3</v>
      </c>
      <c r="E27" s="226" t="s">
        <v>99</v>
      </c>
      <c r="F27" s="236">
        <f>'数据-取费表'!Q16</f>
        <v>0.2</v>
      </c>
      <c r="G27" s="237" t="s">
        <v>431</v>
      </c>
    </row>
    <row r="28" spans="1:7" s="204" customFormat="1" ht="13.5" customHeight="1">
      <c r="A28" s="731" t="s">
        <v>349</v>
      </c>
      <c r="B28" s="238" t="s">
        <v>424</v>
      </c>
      <c r="C28" s="239">
        <f>ROUND((C5+C19+C20)*F27*'数据-取费表'!B21/'数据-取费表'!B20,0)</f>
        <v>4566</v>
      </c>
      <c r="D28" s="225"/>
      <c r="E28" s="226"/>
      <c r="F28" s="236"/>
      <c r="G28" s="237"/>
    </row>
    <row r="29" spans="1:7" s="204" customFormat="1" ht="13.5" customHeight="1">
      <c r="A29" s="731" t="s">
        <v>347</v>
      </c>
      <c r="B29" s="238" t="s">
        <v>425</v>
      </c>
      <c r="C29" s="228">
        <f>ROUND(C21*F27*'数据-取费表'!B21/'数据-取费表'!B20,4)</f>
        <v>5.0000000000000001E-3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32273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46490</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40309</v>
      </c>
      <c r="D34" s="207"/>
      <c r="E34" s="210"/>
      <c r="F34" s="247">
        <f>IF('数据-取费表'!B24=0,1,'数据-取费表'!N16)</f>
        <v>1</v>
      </c>
      <c r="G34" s="209" t="s">
        <v>89</v>
      </c>
    </row>
    <row r="35" spans="1:7" ht="13.5" customHeight="1">
      <c r="A35" s="731" t="s">
        <v>351</v>
      </c>
      <c r="B35" s="205" t="s">
        <v>33</v>
      </c>
      <c r="C35" s="210">
        <f>ROUND(C34*F35,0)</f>
        <v>4031</v>
      </c>
      <c r="D35" s="210"/>
      <c r="E35" s="210"/>
      <c r="F35" s="249">
        <f>'数据-取费表'!B33</f>
        <v>0.1</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1344</v>
      </c>
      <c r="D37" s="207">
        <f>'数据-汇总表'!E3</f>
        <v>67180.950000000026</v>
      </c>
      <c r="E37" s="239">
        <f>'数据-取费表'!B35</f>
        <v>200</v>
      </c>
      <c r="F37" s="249"/>
      <c r="G37" s="251" t="s">
        <v>92</v>
      </c>
    </row>
    <row r="38" spans="1:7" ht="13.5" customHeight="1">
      <c r="A38" s="731" t="s">
        <v>354</v>
      </c>
      <c r="B38" s="205" t="s">
        <v>36</v>
      </c>
      <c r="C38" s="210">
        <f>ROUND(C34*F38,0)</f>
        <v>806</v>
      </c>
      <c r="D38" s="210"/>
      <c r="E38" s="210"/>
      <c r="F38" s="249">
        <f>'数据-取费表'!B36</f>
        <v>0.02</v>
      </c>
      <c r="G38" s="209" t="s">
        <v>90</v>
      </c>
    </row>
    <row r="39" spans="1:7" s="204" customFormat="1" ht="13.5" customHeight="1">
      <c r="A39" s="728" t="s">
        <v>338</v>
      </c>
      <c r="B39" s="200" t="s">
        <v>77</v>
      </c>
      <c r="C39" s="222">
        <f>ROUND(C33*F20,0)</f>
        <v>1860</v>
      </c>
      <c r="D39" s="222"/>
      <c r="E39" s="222"/>
      <c r="F39" s="223"/>
      <c r="G39" s="1001" t="s">
        <v>433</v>
      </c>
    </row>
    <row r="40" spans="1:7" s="204" customFormat="1" ht="13.5" customHeight="1">
      <c r="A40" s="728" t="s">
        <v>339</v>
      </c>
      <c r="B40" s="200" t="s">
        <v>78</v>
      </c>
      <c r="C40" s="252">
        <f>F21</f>
        <v>2.5000000000000001E-2</v>
      </c>
      <c r="D40" s="226" t="s">
        <v>102</v>
      </c>
      <c r="E40" s="222"/>
      <c r="F40" s="223"/>
      <c r="G40" s="224" t="s">
        <v>93</v>
      </c>
    </row>
    <row r="41" spans="1:7" s="204" customFormat="1" ht="13.5" customHeight="1">
      <c r="A41" s="728" t="s">
        <v>340</v>
      </c>
      <c r="B41" s="200" t="s">
        <v>80</v>
      </c>
      <c r="C41" s="222">
        <f ca="1">ROUND(SUM(C42:C43),0)</f>
        <v>2265</v>
      </c>
      <c r="D41" s="225">
        <f ca="1">C44</f>
        <v>1.1999999999999999E-3</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2178</v>
      </c>
      <c r="D42" s="228"/>
      <c r="E42" s="228"/>
      <c r="F42" s="229"/>
      <c r="G42" s="3380" t="s">
        <v>94</v>
      </c>
    </row>
    <row r="43" spans="1:7" ht="13.5" customHeight="1">
      <c r="A43" s="731" t="s">
        <v>347</v>
      </c>
      <c r="B43" s="205" t="s">
        <v>426</v>
      </c>
      <c r="C43" s="228">
        <f ca="1">ROUND(IF('数据-取费表'!B22&lt;=1,C39*F22*'数据-取费表'!B21/2,C39*(POWER((1+F22),'数据-取费表'!B21/2)-1)),0)</f>
        <v>87</v>
      </c>
      <c r="D43" s="228"/>
      <c r="E43" s="228"/>
      <c r="F43" s="229"/>
      <c r="G43" s="3381"/>
    </row>
    <row r="44" spans="1:7" ht="13.5" customHeight="1">
      <c r="A44" s="731" t="s">
        <v>348</v>
      </c>
      <c r="B44" s="205" t="s">
        <v>428</v>
      </c>
      <c r="C44" s="228">
        <f ca="1">ROUND(IF('数据-取费表'!B22&lt;=1,C40*F22*'数据-取费表'!B21/2,C40*(POWER((1+F22),'数据-取费表'!B21/2)-1)),4)</f>
        <v>1.1999999999999999E-3</v>
      </c>
      <c r="D44" s="228"/>
      <c r="E44" s="228"/>
      <c r="F44" s="229"/>
      <c r="G44" s="3382"/>
    </row>
    <row r="45" spans="1:7" s="204" customFormat="1" ht="13.5" customHeight="1">
      <c r="A45" s="728" t="s">
        <v>341</v>
      </c>
      <c r="B45" s="234" t="s">
        <v>85</v>
      </c>
      <c r="C45" s="235">
        <f>C46</f>
        <v>9670</v>
      </c>
      <c r="D45" s="225">
        <f>C47</f>
        <v>5.0000000000000001E-3</v>
      </c>
      <c r="E45" s="226" t="s">
        <v>102</v>
      </c>
      <c r="F45" s="236"/>
      <c r="G45" s="237" t="s">
        <v>434</v>
      </c>
    </row>
    <row r="46" spans="1:7" s="204" customFormat="1" ht="13.5" customHeight="1">
      <c r="A46" s="731" t="s">
        <v>349</v>
      </c>
      <c r="B46" s="238" t="s">
        <v>427</v>
      </c>
      <c r="C46" s="239">
        <f>ROUND((C33+C39)*F27,0)</f>
        <v>9670</v>
      </c>
      <c r="D46" s="253"/>
      <c r="E46" s="226"/>
      <c r="F46" s="236"/>
      <c r="G46" s="237"/>
    </row>
    <row r="47" spans="1:7" s="204" customFormat="1" ht="13.5" customHeight="1">
      <c r="A47" s="731" t="s">
        <v>347</v>
      </c>
      <c r="B47" s="238" t="s">
        <v>429</v>
      </c>
      <c r="C47" s="228">
        <f>ROUND(C40*F27,4)</f>
        <v>5.0000000000000001E-3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65852</v>
      </c>
      <c r="D49" s="222"/>
      <c r="E49" s="222"/>
      <c r="F49" s="254"/>
      <c r="G49" s="224" t="s">
        <v>435</v>
      </c>
    </row>
    <row r="50" spans="1:7" s="248" customFormat="1" ht="24">
      <c r="A50" s="728" t="s">
        <v>344</v>
      </c>
      <c r="B50" s="200" t="s">
        <v>97</v>
      </c>
      <c r="C50" s="222"/>
      <c r="D50" s="222"/>
      <c r="E50" s="222"/>
      <c r="F50" s="254">
        <f>IF('数据-取费表'!B24=0,'数据-取费表'!N16,1)</f>
        <v>0.84</v>
      </c>
      <c r="G50" s="237" t="s">
        <v>98</v>
      </c>
    </row>
    <row r="51" spans="1:7" ht="16.5" customHeight="1">
      <c r="A51" s="728" t="s">
        <v>345</v>
      </c>
      <c r="B51" s="200" t="s">
        <v>105</v>
      </c>
      <c r="C51" s="222">
        <f ca="1">ROUND(C49*F50,0)</f>
        <v>55316</v>
      </c>
      <c r="D51" s="222"/>
      <c r="E51" s="222"/>
      <c r="F51" s="254"/>
      <c r="G51" s="224" t="s">
        <v>37</v>
      </c>
    </row>
    <row r="52" spans="1:7" s="198" customFormat="1" ht="16.5" thickBot="1">
      <c r="A52" s="255" t="s">
        <v>38</v>
      </c>
      <c r="B52" s="256"/>
      <c r="C52" s="257">
        <f ca="1">C31+C51</f>
        <v>87589</v>
      </c>
      <c r="D52" s="256"/>
      <c r="E52" s="256"/>
      <c r="F52" s="256"/>
      <c r="G52" s="258"/>
    </row>
    <row r="55" spans="1:7" ht="15">
      <c r="B55" s="260" t="s">
        <v>39</v>
      </c>
      <c r="C55" s="261"/>
    </row>
    <row r="56" spans="1:7">
      <c r="B56" s="263" t="s">
        <v>40</v>
      </c>
      <c r="C56" s="264">
        <f ca="1">ROUND(C51/C52,3)</f>
        <v>0.63200000000000001</v>
      </c>
    </row>
    <row r="57" spans="1:7">
      <c r="B57" s="263" t="s">
        <v>41</v>
      </c>
      <c r="C57" s="265">
        <f ca="1">1-C56</f>
        <v>0.36799999999999999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498" t="s">
        <v>2835</v>
      </c>
      <c r="B1" s="3498"/>
      <c r="C1" s="3498"/>
      <c r="D1" s="3498"/>
      <c r="E1" s="3498"/>
      <c r="F1" s="3498"/>
      <c r="G1" s="3499"/>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2"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6"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2" thickBot="1">
      <c r="A4" s="3497"/>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2"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2"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2"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2"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00" t="s">
        <v>3177</v>
      </c>
      <c r="B1" s="3500"/>
    </row>
    <row r="2" spans="1:7" ht="14.25" thickBot="1">
      <c r="A2" s="2963"/>
      <c r="B2" s="2963"/>
    </row>
    <row r="3" spans="1:7" ht="14.25" thickBot="1">
      <c r="A3" s="2963"/>
      <c r="B3" s="2963"/>
      <c r="C3" s="2964" t="s">
        <v>2807</v>
      </c>
      <c r="D3" s="2964" t="s">
        <v>2863</v>
      </c>
      <c r="E3" s="2964" t="s">
        <v>2809</v>
      </c>
      <c r="F3" s="2964" t="s">
        <v>2864</v>
      </c>
      <c r="G3" s="2964" t="s">
        <v>2627</v>
      </c>
    </row>
    <row r="4" spans="1:7" ht="14.2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4.2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4.2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4.2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4.2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4.2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4.2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4.2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4.2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4.2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4.2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501" t="s">
        <v>3228</v>
      </c>
      <c r="B1" s="3501"/>
      <c r="C1" s="3501"/>
      <c r="D1" s="3501"/>
      <c r="E1" s="3501"/>
      <c r="F1" s="3502"/>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2">
        <f>基准地价修正!G23</f>
        <v>45735</v>
      </c>
      <c r="B1" s="2924" t="s">
        <v>3374</v>
      </c>
      <c r="C1" s="2925"/>
      <c r="D1" s="2925"/>
      <c r="E1" s="2925"/>
      <c r="F1" s="2925"/>
      <c r="G1" s="2925"/>
      <c r="H1" s="2925"/>
      <c r="I1" s="2925"/>
      <c r="J1" s="2891"/>
      <c r="K1" s="2925" t="s">
        <v>454</v>
      </c>
      <c r="L1" s="2925"/>
      <c r="M1" s="2925"/>
      <c r="N1" s="2925"/>
      <c r="O1" s="2925"/>
      <c r="P1" s="2925"/>
      <c r="Q1" s="2891"/>
      <c r="R1" s="3503" t="s">
        <v>456</v>
      </c>
      <c r="S1" s="3504"/>
      <c r="T1" s="3504"/>
      <c r="U1" s="3504"/>
      <c r="V1" s="3504"/>
      <c r="W1" s="3504"/>
      <c r="X1" s="2891"/>
      <c r="Y1" s="3503" t="s">
        <v>457</v>
      </c>
      <c r="Z1" s="3504"/>
      <c r="AA1" s="3504"/>
      <c r="AB1" s="3504"/>
      <c r="AC1" s="3504"/>
      <c r="AD1" s="3504"/>
    </row>
    <row r="2" spans="1:30" s="2007" customFormat="1" ht="14.25" thickBot="1">
      <c r="B2" s="2876"/>
      <c r="C2" s="2877"/>
      <c r="D2" s="2008" t="s">
        <v>2806</v>
      </c>
      <c r="E2" s="2009" t="s">
        <v>2807</v>
      </c>
      <c r="F2" s="2009" t="s">
        <v>2808</v>
      </c>
      <c r="G2" s="2009" t="s">
        <v>2809</v>
      </c>
      <c r="H2" s="2009" t="s">
        <v>2810</v>
      </c>
      <c r="I2" s="2009" t="s">
        <v>2627</v>
      </c>
      <c r="J2" s="2878"/>
      <c r="K2" s="2008" t="s">
        <v>2806</v>
      </c>
      <c r="L2" s="2009" t="s">
        <v>2807</v>
      </c>
      <c r="M2" s="2009" t="s">
        <v>2808</v>
      </c>
      <c r="N2" s="2009" t="s">
        <v>2809</v>
      </c>
      <c r="O2" s="2009" t="s">
        <v>2811</v>
      </c>
      <c r="P2" s="2009" t="s">
        <v>2627</v>
      </c>
      <c r="Q2" s="2878"/>
      <c r="R2" s="2008" t="s">
        <v>2806</v>
      </c>
      <c r="S2" s="2009" t="s">
        <v>2807</v>
      </c>
      <c r="T2" s="2009" t="s">
        <v>2808</v>
      </c>
      <c r="U2" s="2009" t="s">
        <v>2812</v>
      </c>
      <c r="V2" s="2009" t="s">
        <v>2813</v>
      </c>
      <c r="W2" s="2009" t="s">
        <v>2627</v>
      </c>
      <c r="X2" s="2878"/>
      <c r="Y2" s="2008" t="s">
        <v>2806</v>
      </c>
      <c r="Z2" s="2009" t="s">
        <v>2807</v>
      </c>
      <c r="AA2" s="2009" t="s">
        <v>2808</v>
      </c>
      <c r="AB2" s="2009" t="s">
        <v>2814</v>
      </c>
      <c r="AC2" s="2009" t="s">
        <v>2813</v>
      </c>
      <c r="AD2" s="2009" t="s">
        <v>2627</v>
      </c>
    </row>
    <row r="3" spans="1:30" s="2881" customFormat="1" ht="12.75">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6" customFormat="1" ht="12.75">
      <c r="B4" s="2022"/>
      <c r="J4" s="2891"/>
      <c r="K4" s="2892"/>
      <c r="L4" s="2893"/>
      <c r="M4" s="2893"/>
      <c r="N4" s="2893"/>
      <c r="O4" s="2893"/>
      <c r="P4" s="2893"/>
      <c r="Q4" s="2891"/>
      <c r="R4" s="2024"/>
      <c r="S4" s="2894"/>
      <c r="T4" s="2895"/>
      <c r="U4" s="2024"/>
      <c r="V4" s="2896"/>
      <c r="W4" s="2024"/>
      <c r="X4" s="2891"/>
      <c r="Y4" s="2025"/>
      <c r="Z4" s="2897"/>
      <c r="AA4" s="2898"/>
      <c r="AB4" s="2025"/>
      <c r="AC4" s="2899"/>
      <c r="AD4" s="2025"/>
    </row>
    <row r="5" spans="1:30" s="2042" customFormat="1" ht="12.75">
      <c r="A5" s="2037" t="s">
        <v>3370</v>
      </c>
      <c r="B5" s="2028">
        <v>2025</v>
      </c>
      <c r="C5" s="2039">
        <v>1</v>
      </c>
      <c r="D5" s="2004">
        <v>0</v>
      </c>
      <c r="E5" s="2004">
        <v>0</v>
      </c>
      <c r="F5" s="2004">
        <v>0</v>
      </c>
      <c r="G5" s="2004">
        <v>0</v>
      </c>
      <c r="H5" s="2004">
        <v>0</v>
      </c>
      <c r="I5" s="2005">
        <f t="shared" ref="I5" si="4">F5</f>
        <v>0</v>
      </c>
      <c r="J5" s="2901"/>
      <c r="K5" s="2040">
        <f t="shared" ref="K5" si="5">D5/100</f>
        <v>0</v>
      </c>
      <c r="L5" s="2025">
        <f t="shared" ref="L5" si="6">E5/100</f>
        <v>0</v>
      </c>
      <c r="M5" s="2025">
        <f t="shared" ref="M5" si="7">F5/100</f>
        <v>0</v>
      </c>
      <c r="N5" s="2025">
        <f t="shared" ref="N5" si="8">G5/100</f>
        <v>0</v>
      </c>
      <c r="O5" s="2025">
        <f t="shared" ref="O5" si="9">H5/100</f>
        <v>0</v>
      </c>
      <c r="P5" s="2025">
        <f>M5</f>
        <v>0</v>
      </c>
      <c r="Q5" s="2901"/>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1"/>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1" customFormat="1" ht="12.75">
      <c r="A6" s="2902" t="s">
        <v>3379</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2" customFormat="1" ht="12.75">
      <c r="A7" s="2037" t="s">
        <v>3378</v>
      </c>
      <c r="B7" s="2028">
        <v>2024</v>
      </c>
      <c r="C7" s="2039">
        <v>3</v>
      </c>
      <c r="D7" s="2004">
        <v>-1.19</v>
      </c>
      <c r="E7" s="2004">
        <v>-0.47</v>
      </c>
      <c r="F7" s="2004">
        <v>-0.28999999999999998</v>
      </c>
      <c r="G7" s="2004">
        <v>-0.74</v>
      </c>
      <c r="H7" s="2004">
        <v>-0.21</v>
      </c>
      <c r="I7" s="2005">
        <f t="shared" ref="I7" si="26">F7</f>
        <v>-0.28999999999999998</v>
      </c>
      <c r="J7" s="2901"/>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1"/>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1"/>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0" t="s">
        <v>3371</v>
      </c>
      <c r="B8" s="2028">
        <v>2024</v>
      </c>
      <c r="C8" s="2039">
        <v>2</v>
      </c>
      <c r="D8" s="2004">
        <v>-0.59</v>
      </c>
      <c r="E8" s="2004">
        <v>-0.21</v>
      </c>
      <c r="F8" s="2004">
        <v>-1.38</v>
      </c>
      <c r="G8" s="2004">
        <v>-1.24</v>
      </c>
      <c r="H8" s="2912">
        <v>0.34</v>
      </c>
      <c r="I8" s="2005">
        <f t="shared" ref="I8:I21" si="37">F8</f>
        <v>-1.38</v>
      </c>
      <c r="J8" s="2901"/>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1"/>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1"/>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0" t="s">
        <v>3369</v>
      </c>
      <c r="B9" s="2028">
        <v>2024</v>
      </c>
      <c r="C9" s="2039">
        <v>1</v>
      </c>
      <c r="D9" s="2004">
        <v>0.08</v>
      </c>
      <c r="E9" s="2004">
        <v>0.46</v>
      </c>
      <c r="F9" s="2004">
        <v>-0.16</v>
      </c>
      <c r="G9" s="2004">
        <v>0.26</v>
      </c>
      <c r="H9" s="2912">
        <v>0.59</v>
      </c>
      <c r="I9" s="2005">
        <v>0</v>
      </c>
      <c r="J9" s="2901"/>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1"/>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1"/>
      <c r="Y9" s="2025"/>
      <c r="Z9" s="2025"/>
      <c r="AA9" s="2025"/>
      <c r="AB9" s="2025"/>
      <c r="AC9" s="2025"/>
      <c r="AD9" s="2025"/>
    </row>
    <row r="10" spans="1:30" s="2042" customFormat="1" ht="12.75">
      <c r="A10" s="2900" t="s">
        <v>3365</v>
      </c>
      <c r="B10" s="2028">
        <v>2023</v>
      </c>
      <c r="C10" s="2039">
        <v>4</v>
      </c>
      <c r="D10" s="2004">
        <v>0.19</v>
      </c>
      <c r="E10" s="2004">
        <v>0.24</v>
      </c>
      <c r="F10" s="2004">
        <v>-0.16</v>
      </c>
      <c r="G10" s="2004">
        <v>0.17</v>
      </c>
      <c r="H10" s="2912">
        <v>0.61</v>
      </c>
      <c r="I10" s="2005">
        <f>F10</f>
        <v>-0.16</v>
      </c>
      <c r="J10" s="2901"/>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1"/>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1"/>
      <c r="Y10" s="2025"/>
      <c r="Z10" s="2025"/>
      <c r="AA10" s="2025"/>
      <c r="AB10" s="2025"/>
      <c r="AC10" s="2025"/>
      <c r="AD10" s="2025"/>
    </row>
    <row r="11" spans="1:30" s="2042" customFormat="1" ht="12.75">
      <c r="A11" s="2900" t="s">
        <v>3364</v>
      </c>
      <c r="B11" s="2028">
        <v>2023</v>
      </c>
      <c r="C11" s="2039">
        <v>3</v>
      </c>
      <c r="D11" s="2004">
        <v>0.25</v>
      </c>
      <c r="E11" s="2004">
        <v>0.5</v>
      </c>
      <c r="F11" s="2004">
        <v>0.31</v>
      </c>
      <c r="G11" s="2004">
        <v>0.21</v>
      </c>
      <c r="H11" s="2912">
        <v>0.43</v>
      </c>
      <c r="I11" s="2005">
        <f t="shared" si="37"/>
        <v>0.31</v>
      </c>
      <c r="J11" s="2901"/>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1"/>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1"/>
      <c r="Y11" s="2025"/>
      <c r="Z11" s="2025"/>
      <c r="AA11" s="2025"/>
      <c r="AB11" s="2025"/>
      <c r="AC11" s="2025"/>
      <c r="AD11" s="2025"/>
    </row>
    <row r="12" spans="1:30" s="2042" customFormat="1" ht="12.75">
      <c r="A12" s="2900" t="s">
        <v>3362</v>
      </c>
      <c r="B12" s="2028">
        <v>2023</v>
      </c>
      <c r="C12" s="2039">
        <v>2</v>
      </c>
      <c r="D12" s="2004">
        <v>0.91</v>
      </c>
      <c r="E12" s="2004">
        <v>0.66</v>
      </c>
      <c r="F12" s="2004">
        <v>0.47</v>
      </c>
      <c r="G12" s="2004">
        <v>0.96</v>
      </c>
      <c r="H12" s="2912">
        <v>0.71</v>
      </c>
      <c r="I12" s="2005">
        <f t="shared" si="37"/>
        <v>0.47</v>
      </c>
      <c r="J12" s="2901"/>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1"/>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1"/>
      <c r="Y12" s="2025"/>
      <c r="Z12" s="2025"/>
      <c r="AA12" s="2025"/>
      <c r="AB12" s="2025"/>
      <c r="AC12" s="2025"/>
      <c r="AD12" s="2025"/>
    </row>
    <row r="13" spans="1:30" s="2042" customFormat="1" ht="12.75">
      <c r="A13" s="2900" t="s">
        <v>3361</v>
      </c>
      <c r="B13" s="2028">
        <v>2023</v>
      </c>
      <c r="C13" s="2039">
        <v>1</v>
      </c>
      <c r="D13" s="2004">
        <v>0.89</v>
      </c>
      <c r="E13" s="2004">
        <v>0.74</v>
      </c>
      <c r="F13" s="2004">
        <v>0.56999999999999995</v>
      </c>
      <c r="G13" s="2004">
        <v>0.92</v>
      </c>
      <c r="H13" s="2912">
        <v>0.5</v>
      </c>
      <c r="I13" s="2005">
        <f t="shared" si="37"/>
        <v>0.56999999999999995</v>
      </c>
      <c r="J13" s="2901"/>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1"/>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1"/>
      <c r="Y13" s="2025"/>
      <c r="Z13" s="2025"/>
      <c r="AA13" s="2025"/>
      <c r="AB13" s="2025"/>
      <c r="AC13" s="2025"/>
      <c r="AD13" s="2025"/>
    </row>
    <row r="14" spans="1:30" s="2042" customFormat="1" ht="12.75">
      <c r="A14" s="2900" t="s">
        <v>3360</v>
      </c>
      <c r="B14" s="2028">
        <v>2022</v>
      </c>
      <c r="C14" s="2039">
        <v>4</v>
      </c>
      <c r="D14" s="2004">
        <v>0.62</v>
      </c>
      <c r="E14" s="2004">
        <v>0.2</v>
      </c>
      <c r="F14" s="2004">
        <v>0.11</v>
      </c>
      <c r="G14" s="2004">
        <v>0.69</v>
      </c>
      <c r="H14" s="2912">
        <v>0.53</v>
      </c>
      <c r="I14" s="2005">
        <f t="shared" si="37"/>
        <v>0.11</v>
      </c>
      <c r="J14" s="2901"/>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1"/>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1"/>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0" t="s">
        <v>3358</v>
      </c>
      <c r="B15" s="2028">
        <v>2022</v>
      </c>
      <c r="C15" s="2039">
        <v>3</v>
      </c>
      <c r="D15" s="2004">
        <v>0.66</v>
      </c>
      <c r="E15" s="2004">
        <v>0.32</v>
      </c>
      <c r="F15" s="2004">
        <v>0.23</v>
      </c>
      <c r="G15" s="2004">
        <v>0.72</v>
      </c>
      <c r="H15" s="2912">
        <v>0.63</v>
      </c>
      <c r="I15" s="2005">
        <f t="shared" si="37"/>
        <v>0.23</v>
      </c>
      <c r="J15" s="2901"/>
      <c r="K15" s="2040">
        <f t="shared" si="38"/>
        <v>6.6E-3</v>
      </c>
      <c r="L15" s="2025">
        <f t="shared" si="38"/>
        <v>3.2000000000000002E-3</v>
      </c>
      <c r="M15" s="2025">
        <f t="shared" si="38"/>
        <v>2.3E-3</v>
      </c>
      <c r="N15" s="2025">
        <f t="shared" si="38"/>
        <v>7.1999999999999998E-3</v>
      </c>
      <c r="O15" s="2025">
        <f t="shared" si="38"/>
        <v>6.3E-3</v>
      </c>
      <c r="P15" s="2025">
        <f t="shared" si="58"/>
        <v>2.3E-3</v>
      </c>
      <c r="Q15" s="2901"/>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1"/>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0" t="s">
        <v>3349</v>
      </c>
      <c r="B16" s="2028">
        <v>2022</v>
      </c>
      <c r="C16" s="2039">
        <v>2</v>
      </c>
      <c r="D16" s="2004">
        <v>0.93</v>
      </c>
      <c r="E16" s="2004">
        <v>0.15</v>
      </c>
      <c r="F16" s="2004">
        <v>0.01</v>
      </c>
      <c r="G16" s="2004">
        <v>1.05</v>
      </c>
      <c r="H16" s="2912">
        <v>1.08</v>
      </c>
      <c r="I16" s="2005">
        <f t="shared" si="37"/>
        <v>0.01</v>
      </c>
      <c r="J16" s="2901"/>
      <c r="K16" s="2040">
        <f t="shared" si="38"/>
        <v>9.300000000000001E-3</v>
      </c>
      <c r="L16" s="2025">
        <f t="shared" si="38"/>
        <v>1.5E-3</v>
      </c>
      <c r="M16" s="2025">
        <f t="shared" si="38"/>
        <v>1E-4</v>
      </c>
      <c r="N16" s="2025">
        <f t="shared" si="38"/>
        <v>1.0500000000000001E-2</v>
      </c>
      <c r="O16" s="2025">
        <f t="shared" si="38"/>
        <v>1.0800000000000001E-2</v>
      </c>
      <c r="P16" s="2025">
        <f t="shared" si="58"/>
        <v>1E-4</v>
      </c>
      <c r="Q16" s="2901"/>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1"/>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0" t="s">
        <v>2816</v>
      </c>
      <c r="B17" s="2028">
        <v>2022</v>
      </c>
      <c r="C17" s="2039">
        <v>1</v>
      </c>
      <c r="D17" s="2004">
        <v>0.89</v>
      </c>
      <c r="E17" s="2004">
        <v>0.44</v>
      </c>
      <c r="F17" s="2004">
        <v>0.37</v>
      </c>
      <c r="G17" s="2004">
        <v>0.96</v>
      </c>
      <c r="H17" s="2912">
        <v>0.64</v>
      </c>
      <c r="I17" s="2005">
        <f t="shared" si="37"/>
        <v>0.37</v>
      </c>
      <c r="J17" s="2901"/>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1"/>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1"/>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0" t="s">
        <v>2817</v>
      </c>
      <c r="B18" s="2028">
        <v>2021</v>
      </c>
      <c r="C18" s="2039">
        <v>4</v>
      </c>
      <c r="D18" s="2004">
        <v>1.03</v>
      </c>
      <c r="E18" s="2004">
        <v>0.24</v>
      </c>
      <c r="F18" s="2004">
        <v>7.0000000000000007E-2</v>
      </c>
      <c r="G18" s="2004">
        <v>1.17</v>
      </c>
      <c r="H18" s="2912">
        <v>0.55000000000000004</v>
      </c>
      <c r="I18" s="2005">
        <f t="shared" si="37"/>
        <v>7.0000000000000007E-2</v>
      </c>
      <c r="J18" s="2901"/>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1"/>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1"/>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0" t="s">
        <v>2818</v>
      </c>
      <c r="B19" s="2028">
        <v>2021</v>
      </c>
      <c r="C19" s="2039">
        <v>3</v>
      </c>
      <c r="D19" s="2004">
        <v>0.47</v>
      </c>
      <c r="E19" s="2004">
        <v>0.41</v>
      </c>
      <c r="F19" s="2004">
        <v>0.24</v>
      </c>
      <c r="G19" s="2004">
        <v>0.48</v>
      </c>
      <c r="H19" s="2912">
        <v>0.48</v>
      </c>
      <c r="I19" s="2005">
        <f t="shared" si="37"/>
        <v>0.24</v>
      </c>
      <c r="J19" s="2901"/>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1"/>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1"/>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0" t="s">
        <v>2819</v>
      </c>
      <c r="B20" s="2028">
        <v>2021</v>
      </c>
      <c r="C20" s="2039">
        <v>2</v>
      </c>
      <c r="D20" s="2004">
        <v>0.92</v>
      </c>
      <c r="E20" s="2004">
        <v>0.72</v>
      </c>
      <c r="F20" s="2004">
        <v>0.41</v>
      </c>
      <c r="G20" s="2004">
        <v>0.95</v>
      </c>
      <c r="H20" s="2912">
        <v>1.01</v>
      </c>
      <c r="I20" s="2005">
        <f t="shared" si="37"/>
        <v>0.41</v>
      </c>
      <c r="J20" s="2901"/>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1"/>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1"/>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3" customFormat="1"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4.25" thickTop="1"/>
    <row r="23" spans="1:30">
      <c r="A23" s="3138" t="s">
        <v>3377</v>
      </c>
    </row>
    <row r="24" spans="1:30">
      <c r="I24" s="1402" t="s">
        <v>2821</v>
      </c>
    </row>
    <row r="26" spans="1:30" s="2006" customFormat="1" ht="12.75">
      <c r="B26" s="2924" t="s">
        <v>3375</v>
      </c>
      <c r="C26" s="2925"/>
      <c r="D26" s="2925"/>
      <c r="E26" s="2925"/>
      <c r="F26" s="2925"/>
      <c r="G26" s="2925"/>
      <c r="H26" s="2925"/>
      <c r="I26" s="2925"/>
      <c r="J26" s="2891"/>
      <c r="K26" s="2925" t="s">
        <v>2822</v>
      </c>
      <c r="L26" s="2925"/>
      <c r="M26" s="2925"/>
      <c r="N26" s="2925"/>
      <c r="O26" s="2925"/>
      <c r="P26" s="2925"/>
      <c r="Q26" s="2891"/>
      <c r="R26" s="3503" t="s">
        <v>2823</v>
      </c>
      <c r="S26" s="3504"/>
      <c r="T26" s="3504"/>
      <c r="U26" s="3504"/>
      <c r="V26" s="3504"/>
      <c r="W26" s="3504"/>
      <c r="X26" s="2891"/>
      <c r="Y26" s="3503" t="s">
        <v>2824</v>
      </c>
      <c r="Z26" s="3504"/>
      <c r="AA26" s="3504"/>
      <c r="AB26" s="3504"/>
      <c r="AC26" s="3504"/>
      <c r="AD26" s="3504"/>
    </row>
    <row r="27" spans="1:30" s="2007" customFormat="1" ht="14.25" thickBot="1">
      <c r="B27" s="2876"/>
      <c r="C27" s="2877"/>
      <c r="D27" s="2008" t="s">
        <v>2825</v>
      </c>
      <c r="E27" s="2009" t="s">
        <v>2826</v>
      </c>
      <c r="F27" s="2009" t="s">
        <v>2827</v>
      </c>
      <c r="G27" s="2009" t="s">
        <v>2828</v>
      </c>
      <c r="H27" s="2009"/>
      <c r="I27" s="2009" t="s">
        <v>2829</v>
      </c>
      <c r="J27" s="2878"/>
      <c r="K27" s="2008" t="s">
        <v>2825</v>
      </c>
      <c r="L27" s="2009" t="s">
        <v>2826</v>
      </c>
      <c r="M27" s="2009" t="s">
        <v>2827</v>
      </c>
      <c r="N27" s="2009" t="s">
        <v>2828</v>
      </c>
      <c r="O27" s="2009"/>
      <c r="P27" s="2009" t="s">
        <v>2829</v>
      </c>
      <c r="Q27" s="2878"/>
      <c r="R27" s="2008" t="s">
        <v>2825</v>
      </c>
      <c r="S27" s="2009" t="s">
        <v>2826</v>
      </c>
      <c r="T27" s="2009" t="s">
        <v>2827</v>
      </c>
      <c r="U27" s="2009" t="s">
        <v>2828</v>
      </c>
      <c r="V27" s="2009"/>
      <c r="W27" s="2009" t="s">
        <v>2829</v>
      </c>
      <c r="X27" s="2878"/>
      <c r="Y27" s="2008" t="s">
        <v>2825</v>
      </c>
      <c r="Z27" s="2009" t="s">
        <v>2826</v>
      </c>
      <c r="AA27" s="2009" t="s">
        <v>2827</v>
      </c>
      <c r="AB27" s="2009" t="s">
        <v>2828</v>
      </c>
      <c r="AC27" s="2009"/>
      <c r="AD27" s="2009" t="s">
        <v>2829</v>
      </c>
    </row>
    <row r="28" spans="1:30" s="2881" customFormat="1" ht="12.75">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6" customFormat="1" ht="12.75">
      <c r="B29" s="2022"/>
      <c r="J29" s="2891"/>
      <c r="K29" s="2892"/>
      <c r="L29" s="2893"/>
      <c r="M29" s="2893"/>
      <c r="N29" s="2893"/>
      <c r="O29" s="2893"/>
      <c r="P29" s="2893"/>
      <c r="Q29" s="2891"/>
      <c r="R29" s="2024"/>
      <c r="S29" s="2894"/>
      <c r="T29" s="2895"/>
      <c r="U29" s="2024"/>
      <c r="V29" s="2896"/>
      <c r="W29" s="2024"/>
      <c r="X29" s="2891"/>
      <c r="Y29" s="2025"/>
      <c r="Z29" s="2897"/>
      <c r="AA29" s="2898"/>
      <c r="AB29" s="2025"/>
      <c r="AC29" s="2899"/>
      <c r="AD29" s="2025"/>
    </row>
    <row r="30" spans="1:30" s="2042" customFormat="1" ht="12.75">
      <c r="A30" s="2037" t="s">
        <v>3370</v>
      </c>
      <c r="B30" s="2028">
        <v>2025</v>
      </c>
      <c r="C30" s="2039">
        <v>1</v>
      </c>
      <c r="D30" s="2004"/>
      <c r="E30" s="2004">
        <v>0</v>
      </c>
      <c r="F30" s="2004">
        <v>0</v>
      </c>
      <c r="G30" s="2004">
        <v>0</v>
      </c>
      <c r="H30" s="2004"/>
      <c r="I30" s="2005">
        <f t="shared" ref="I30" si="69">F30</f>
        <v>0</v>
      </c>
      <c r="J30" s="2901"/>
      <c r="K30" s="2040"/>
      <c r="L30" s="2025">
        <f t="shared" ref="L30" si="70">E30/100</f>
        <v>0</v>
      </c>
      <c r="M30" s="2025">
        <f t="shared" ref="M30" si="71">F30/100</f>
        <v>0</v>
      </c>
      <c r="N30" s="2025">
        <f t="shared" ref="N30" si="72">G30/100</f>
        <v>0</v>
      </c>
      <c r="O30" s="2025"/>
      <c r="P30" s="2025">
        <f>M30</f>
        <v>0</v>
      </c>
      <c r="Q30" s="2901"/>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1"/>
      <c r="Y30" s="2025"/>
      <c r="Z30" s="2897">
        <f t="shared" ref="Z30" si="73">IF(E30=0,0,ROUND(AVERAGE(E30:E43)/100,4))</f>
        <v>0</v>
      </c>
      <c r="AA30" s="2897">
        <f t="shared" ref="AA30" si="74">IF(F30=0,0,ROUND(AVERAGE(F30:F43)/100,4))</f>
        <v>0</v>
      </c>
      <c r="AB30" s="2897">
        <f t="shared" ref="AB30" si="75">IF(G30=0,0,ROUND(AVERAGE(G30:G43)/100,4))</f>
        <v>0</v>
      </c>
      <c r="AC30" s="2899"/>
      <c r="AD30" s="2025">
        <f>IF(I30=0,0,ROUND(AVERAGE(I30:I43)/100,4))</f>
        <v>0</v>
      </c>
    </row>
    <row r="31" spans="1:30" s="2911" customFormat="1" ht="12.75">
      <c r="A31" s="2902" t="s">
        <v>3372</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2" customFormat="1" ht="12.75">
      <c r="A32" s="2037" t="s">
        <v>3367</v>
      </c>
      <c r="B32" s="2028">
        <v>2024</v>
      </c>
      <c r="C32" s="2039">
        <v>3</v>
      </c>
      <c r="D32" s="2004"/>
      <c r="E32" s="2004">
        <v>-0.66</v>
      </c>
      <c r="F32" s="2004">
        <v>-0.52</v>
      </c>
      <c r="G32" s="2004">
        <v>-2.87</v>
      </c>
      <c r="H32" s="2004"/>
      <c r="I32" s="2005">
        <f t="shared" ref="I32" si="83">F32</f>
        <v>-0.52</v>
      </c>
      <c r="J32" s="2901"/>
      <c r="K32" s="2040"/>
      <c r="L32" s="2025">
        <f t="shared" ref="L32" si="84">E32/100</f>
        <v>-6.6E-3</v>
      </c>
      <c r="M32" s="2025">
        <f t="shared" ref="M32" si="85">F32/100</f>
        <v>-5.1999999999999998E-3</v>
      </c>
      <c r="N32" s="2025">
        <f t="shared" ref="N32" si="86">G32/100</f>
        <v>-2.87E-2</v>
      </c>
      <c r="O32" s="2025"/>
      <c r="P32" s="2025">
        <f>M32</f>
        <v>-5.1999999999999998E-3</v>
      </c>
      <c r="Q32" s="2901"/>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1"/>
      <c r="Y32" s="2025"/>
      <c r="Z32" s="2897">
        <f t="shared" ref="Z32:AB33" si="87">IF(E32=0,0,ROUND(AVERAGE(E32:E45)/100,4))</f>
        <v>2.5999999999999999E-3</v>
      </c>
      <c r="AA32" s="2897">
        <f t="shared" si="87"/>
        <v>1.6999999999999999E-3</v>
      </c>
      <c r="AB32" s="2897">
        <f t="shared" si="87"/>
        <v>3.3999999999999998E-3</v>
      </c>
      <c r="AC32" s="2899"/>
      <c r="AD32" s="2025">
        <f>IF(I32=0,0,ROUND(AVERAGE(I32:I45)/100,4))</f>
        <v>1.6999999999999999E-3</v>
      </c>
    </row>
    <row r="33" spans="1:30" s="2042" customFormat="1" ht="12.75">
      <c r="A33" s="2900" t="s">
        <v>3373</v>
      </c>
      <c r="B33" s="2028">
        <v>2024</v>
      </c>
      <c r="C33" s="2039">
        <v>2</v>
      </c>
      <c r="D33" s="2004"/>
      <c r="E33" s="2004">
        <v>-0.31</v>
      </c>
      <c r="F33" s="2004">
        <v>-0.39</v>
      </c>
      <c r="G33" s="2004">
        <v>1.23</v>
      </c>
      <c r="H33" s="2912"/>
      <c r="I33" s="2005">
        <f t="shared" ref="I33:I46" si="88">F33</f>
        <v>-0.39</v>
      </c>
      <c r="J33" s="2901"/>
      <c r="K33" s="2040"/>
      <c r="L33" s="2025">
        <f t="shared" ref="L33:N46" si="89">E33/100</f>
        <v>-3.0999999999999999E-3</v>
      </c>
      <c r="M33" s="2025">
        <f t="shared" si="89"/>
        <v>-3.9000000000000003E-3</v>
      </c>
      <c r="N33" s="2025">
        <f t="shared" si="89"/>
        <v>1.23E-2</v>
      </c>
      <c r="O33" s="2025"/>
      <c r="P33" s="2025">
        <f>M33</f>
        <v>-3.9000000000000003E-3</v>
      </c>
      <c r="Q33" s="2901"/>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1"/>
      <c r="Y33" s="2025"/>
      <c r="Z33" s="2897">
        <f t="shared" si="87"/>
        <v>3.3E-3</v>
      </c>
      <c r="AA33" s="2898">
        <f t="shared" si="87"/>
        <v>2.3999999999999998E-3</v>
      </c>
      <c r="AB33" s="2025">
        <f t="shared" si="87"/>
        <v>6.1999999999999998E-3</v>
      </c>
      <c r="AC33" s="2899"/>
      <c r="AD33" s="2025">
        <f>IF(I33=0,0,ROUND(AVERAGE(I33:I46)/100,4))</f>
        <v>2.3999999999999998E-3</v>
      </c>
    </row>
    <row r="34" spans="1:30" s="2042" customFormat="1" ht="12.75">
      <c r="A34" s="2900" t="s">
        <v>3368</v>
      </c>
      <c r="B34" s="2028">
        <v>2024</v>
      </c>
      <c r="C34" s="2039">
        <v>1</v>
      </c>
      <c r="D34" s="2004"/>
      <c r="E34" s="2004">
        <v>0.25</v>
      </c>
      <c r="F34" s="2004">
        <v>0.4</v>
      </c>
      <c r="G34" s="2004">
        <v>-0.63</v>
      </c>
      <c r="H34" s="2912"/>
      <c r="I34" s="2005">
        <f t="shared" ref="I34:I35" si="90">F34</f>
        <v>0.4</v>
      </c>
      <c r="J34" s="2901"/>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1"/>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1"/>
      <c r="Y34" s="2025"/>
      <c r="Z34" s="2897"/>
      <c r="AA34" s="2898"/>
      <c r="AB34" s="2025"/>
      <c r="AC34" s="2899"/>
      <c r="AD34" s="2025"/>
    </row>
    <row r="35" spans="1:30" s="2042" customFormat="1" ht="12.75">
      <c r="A35" s="2900" t="s">
        <v>3366</v>
      </c>
      <c r="B35" s="2028">
        <v>2023</v>
      </c>
      <c r="C35" s="2039">
        <v>4</v>
      </c>
      <c r="D35" s="2004"/>
      <c r="E35" s="2004">
        <v>7.0000000000000007E-2</v>
      </c>
      <c r="F35" s="2004">
        <v>0.09</v>
      </c>
      <c r="G35" s="2004">
        <v>0.03</v>
      </c>
      <c r="H35" s="2912"/>
      <c r="I35" s="2005">
        <f t="shared" si="90"/>
        <v>0.09</v>
      </c>
      <c r="J35" s="2901"/>
      <c r="K35" s="2040"/>
      <c r="L35" s="2025">
        <f t="shared" si="89"/>
        <v>7.000000000000001E-4</v>
      </c>
      <c r="M35" s="2025">
        <f t="shared" si="89"/>
        <v>8.9999999999999998E-4</v>
      </c>
      <c r="N35" s="2025">
        <f t="shared" si="89"/>
        <v>2.9999999999999997E-4</v>
      </c>
      <c r="O35" s="2025"/>
      <c r="P35" s="2025">
        <f t="shared" ref="P35" si="96">M35</f>
        <v>8.9999999999999998E-4</v>
      </c>
      <c r="Q35" s="2901"/>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1"/>
      <c r="Y35" s="2025"/>
      <c r="Z35" s="2897"/>
      <c r="AA35" s="2898"/>
      <c r="AB35" s="2025"/>
      <c r="AC35" s="2899"/>
      <c r="AD35" s="2025"/>
    </row>
    <row r="36" spans="1:30" s="2042" customFormat="1" ht="12.75">
      <c r="A36" s="2900" t="s">
        <v>3364</v>
      </c>
      <c r="B36" s="2028">
        <v>2023</v>
      </c>
      <c r="C36" s="2039">
        <v>3</v>
      </c>
      <c r="D36" s="2004"/>
      <c r="E36" s="2004">
        <v>0.35</v>
      </c>
      <c r="F36" s="2004">
        <v>0.17</v>
      </c>
      <c r="G36" s="2004">
        <v>0.52</v>
      </c>
      <c r="H36" s="2912"/>
      <c r="I36" s="2005">
        <f t="shared" si="88"/>
        <v>0.17</v>
      </c>
      <c r="J36" s="2901"/>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1"/>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1"/>
      <c r="Y36" s="2025"/>
      <c r="Z36" s="2897"/>
      <c r="AA36" s="2898"/>
      <c r="AB36" s="2025"/>
      <c r="AC36" s="2899"/>
      <c r="AD36" s="2025"/>
    </row>
    <row r="37" spans="1:30" s="2042" customFormat="1" ht="12.75">
      <c r="A37" s="2900" t="s">
        <v>3363</v>
      </c>
      <c r="B37" s="2028">
        <v>2023</v>
      </c>
      <c r="C37" s="2039">
        <v>2</v>
      </c>
      <c r="D37" s="2004"/>
      <c r="E37" s="2004">
        <v>0.5</v>
      </c>
      <c r="F37" s="2004">
        <v>0.45</v>
      </c>
      <c r="G37" s="2004">
        <v>0.89</v>
      </c>
      <c r="H37" s="2912"/>
      <c r="I37" s="2005">
        <f t="shared" si="88"/>
        <v>0.45</v>
      </c>
      <c r="J37" s="2901"/>
      <c r="K37" s="2040"/>
      <c r="L37" s="2025">
        <f t="shared" si="98"/>
        <v>5.0000000000000001E-3</v>
      </c>
      <c r="M37" s="2025">
        <f t="shared" si="99"/>
        <v>4.5000000000000005E-3</v>
      </c>
      <c r="N37" s="2025">
        <f t="shared" si="100"/>
        <v>8.8999999999999999E-3</v>
      </c>
      <c r="O37" s="2025"/>
      <c r="P37" s="2025">
        <f t="shared" si="101"/>
        <v>4.5000000000000005E-3</v>
      </c>
      <c r="Q37" s="2901"/>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1"/>
      <c r="Y37" s="2025"/>
      <c r="Z37" s="2897"/>
      <c r="AA37" s="2898"/>
      <c r="AB37" s="2025"/>
      <c r="AC37" s="2899"/>
      <c r="AD37" s="2025"/>
    </row>
    <row r="38" spans="1:30" s="2042" customFormat="1" ht="12.75">
      <c r="A38" s="2900" t="s">
        <v>3361</v>
      </c>
      <c r="B38" s="2028">
        <v>2023</v>
      </c>
      <c r="C38" s="2039">
        <v>1</v>
      </c>
      <c r="D38" s="2004"/>
      <c r="E38" s="2004">
        <v>0.55000000000000004</v>
      </c>
      <c r="F38" s="2004">
        <v>0.59</v>
      </c>
      <c r="G38" s="2004">
        <v>0.64</v>
      </c>
      <c r="H38" s="2912"/>
      <c r="I38" s="2005">
        <f t="shared" si="88"/>
        <v>0.59</v>
      </c>
      <c r="J38" s="2901"/>
      <c r="K38" s="2040"/>
      <c r="L38" s="2025">
        <f t="shared" si="98"/>
        <v>5.5000000000000005E-3</v>
      </c>
      <c r="M38" s="2025">
        <f t="shared" si="99"/>
        <v>5.8999999999999999E-3</v>
      </c>
      <c r="N38" s="2025">
        <f t="shared" si="100"/>
        <v>6.4000000000000003E-3</v>
      </c>
      <c r="O38" s="2025"/>
      <c r="P38" s="2025">
        <f t="shared" si="101"/>
        <v>5.8999999999999999E-3</v>
      </c>
      <c r="Q38" s="2901"/>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1"/>
      <c r="Y38" s="2025"/>
      <c r="Z38" s="2897"/>
      <c r="AA38" s="2898"/>
      <c r="AB38" s="2025"/>
      <c r="AC38" s="2899"/>
      <c r="AD38" s="2025"/>
    </row>
    <row r="39" spans="1:30" s="2042" customFormat="1" ht="12.75">
      <c r="A39" s="2900" t="s">
        <v>3360</v>
      </c>
      <c r="B39" s="2028">
        <v>2022</v>
      </c>
      <c r="C39" s="2039">
        <v>4</v>
      </c>
      <c r="D39" s="2004"/>
      <c r="E39" s="2004">
        <v>0.45</v>
      </c>
      <c r="F39" s="2004">
        <v>0.2</v>
      </c>
      <c r="G39" s="2004">
        <v>0.38</v>
      </c>
      <c r="H39" s="2912"/>
      <c r="I39" s="2005">
        <f t="shared" si="88"/>
        <v>0.2</v>
      </c>
      <c r="J39" s="2901"/>
      <c r="K39" s="2040"/>
      <c r="L39" s="2025">
        <f t="shared" si="89"/>
        <v>4.5000000000000005E-3</v>
      </c>
      <c r="M39" s="2025">
        <f t="shared" si="89"/>
        <v>2E-3</v>
      </c>
      <c r="N39" s="2025">
        <f t="shared" si="89"/>
        <v>3.8E-3</v>
      </c>
      <c r="O39" s="2025"/>
      <c r="P39" s="2025">
        <f t="shared" ref="P39:P46" si="103">M39</f>
        <v>2E-3</v>
      </c>
      <c r="Q39" s="2901"/>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1"/>
      <c r="Y39" s="2025"/>
      <c r="Z39" s="2897">
        <f t="shared" ref="Z39:AD46" si="105">IF(E39=0,0,ROUND(AVERAGE(E39:E47)/100,4))</f>
        <v>4.0000000000000001E-3</v>
      </c>
      <c r="AA39" s="2898">
        <f t="shared" si="105"/>
        <v>2.5999999999999999E-3</v>
      </c>
      <c r="AB39" s="2025">
        <f t="shared" si="105"/>
        <v>7.4000000000000003E-3</v>
      </c>
      <c r="AC39" s="2899"/>
      <c r="AD39" s="2025">
        <f t="shared" si="105"/>
        <v>2.5999999999999999E-3</v>
      </c>
    </row>
    <row r="40" spans="1:30" s="2042" customFormat="1" ht="12.75">
      <c r="A40" s="2900" t="s">
        <v>3359</v>
      </c>
      <c r="B40" s="2028">
        <v>2022</v>
      </c>
      <c r="C40" s="2039">
        <v>3</v>
      </c>
      <c r="D40" s="2004"/>
      <c r="E40" s="2004">
        <v>0.3</v>
      </c>
      <c r="F40" s="2004">
        <v>0.28999999999999998</v>
      </c>
      <c r="G40" s="2004">
        <v>0.83</v>
      </c>
      <c r="H40" s="2912"/>
      <c r="I40" s="2005">
        <f t="shared" si="88"/>
        <v>0.28999999999999998</v>
      </c>
      <c r="J40" s="2901"/>
      <c r="K40" s="2040"/>
      <c r="L40" s="2025">
        <f t="shared" si="89"/>
        <v>3.0000000000000001E-3</v>
      </c>
      <c r="M40" s="2025">
        <f t="shared" si="89"/>
        <v>2.8999999999999998E-3</v>
      </c>
      <c r="N40" s="2025">
        <f t="shared" si="89"/>
        <v>8.3000000000000001E-3</v>
      </c>
      <c r="O40" s="2025"/>
      <c r="P40" s="2025">
        <f t="shared" si="103"/>
        <v>2.8999999999999998E-3</v>
      </c>
      <c r="Q40" s="2901"/>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1"/>
      <c r="Y40" s="2025"/>
      <c r="Z40" s="2897">
        <f t="shared" si="105"/>
        <v>3.8999999999999998E-3</v>
      </c>
      <c r="AA40" s="2898">
        <f t="shared" si="105"/>
        <v>2.7000000000000001E-3</v>
      </c>
      <c r="AB40" s="2025">
        <f t="shared" si="105"/>
        <v>7.9000000000000008E-3</v>
      </c>
      <c r="AC40" s="2899"/>
      <c r="AD40" s="2025">
        <f t="shared" si="105"/>
        <v>2.7000000000000001E-3</v>
      </c>
    </row>
    <row r="41" spans="1:30" s="2042" customFormat="1" ht="12.75">
      <c r="A41" s="2900" t="s">
        <v>3349</v>
      </c>
      <c r="B41" s="2028">
        <v>2022</v>
      </c>
      <c r="C41" s="2039">
        <v>2</v>
      </c>
      <c r="D41" s="2004"/>
      <c r="E41" s="2004">
        <v>-0.11</v>
      </c>
      <c r="F41" s="2004">
        <v>-0.13</v>
      </c>
      <c r="G41" s="2004">
        <v>0.53</v>
      </c>
      <c r="H41" s="2912"/>
      <c r="I41" s="2005">
        <f t="shared" si="88"/>
        <v>-0.13</v>
      </c>
      <c r="J41" s="2901"/>
      <c r="K41" s="2040"/>
      <c r="L41" s="2025">
        <f t="shared" si="89"/>
        <v>-1.1000000000000001E-3</v>
      </c>
      <c r="M41" s="2025">
        <f t="shared" si="89"/>
        <v>-1.2999999999999999E-3</v>
      </c>
      <c r="N41" s="2025">
        <f t="shared" si="89"/>
        <v>5.3E-3</v>
      </c>
      <c r="O41" s="2025"/>
      <c r="P41" s="2025">
        <f t="shared" si="103"/>
        <v>-1.2999999999999999E-3</v>
      </c>
      <c r="Q41" s="2901"/>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1"/>
      <c r="Y41" s="2025"/>
      <c r="Z41" s="2897">
        <f t="shared" si="105"/>
        <v>4.1000000000000003E-3</v>
      </c>
      <c r="AA41" s="2898">
        <f t="shared" si="105"/>
        <v>2.7000000000000001E-3</v>
      </c>
      <c r="AB41" s="2025">
        <f t="shared" si="105"/>
        <v>7.9000000000000008E-3</v>
      </c>
      <c r="AC41" s="2899"/>
      <c r="AD41" s="2025">
        <f t="shared" si="105"/>
        <v>2.7000000000000001E-3</v>
      </c>
    </row>
    <row r="42" spans="1:30" s="2042" customFormat="1" ht="12.75">
      <c r="A42" s="2900" t="s">
        <v>2831</v>
      </c>
      <c r="B42" s="2028">
        <v>2022</v>
      </c>
      <c r="C42" s="2039">
        <v>1</v>
      </c>
      <c r="D42" s="2004"/>
      <c r="E42" s="2004">
        <v>0.6</v>
      </c>
      <c r="F42" s="2004">
        <v>0.45</v>
      </c>
      <c r="G42" s="2004">
        <v>0.53</v>
      </c>
      <c r="H42" s="2912"/>
      <c r="I42" s="2005">
        <f t="shared" si="88"/>
        <v>0.45</v>
      </c>
      <c r="J42" s="2901"/>
      <c r="K42" s="2040"/>
      <c r="L42" s="2025">
        <f t="shared" si="89"/>
        <v>6.0000000000000001E-3</v>
      </c>
      <c r="M42" s="2025">
        <f t="shared" si="89"/>
        <v>4.5000000000000005E-3</v>
      </c>
      <c r="N42" s="2025">
        <f t="shared" si="89"/>
        <v>5.3E-3</v>
      </c>
      <c r="O42" s="2025"/>
      <c r="P42" s="2025">
        <f t="shared" si="103"/>
        <v>4.5000000000000005E-3</v>
      </c>
      <c r="Q42" s="2901"/>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1"/>
      <c r="Y42" s="2025"/>
      <c r="Z42" s="2897">
        <f t="shared" si="105"/>
        <v>5.1000000000000004E-3</v>
      </c>
      <c r="AA42" s="2898">
        <f t="shared" si="105"/>
        <v>3.5000000000000001E-3</v>
      </c>
      <c r="AB42" s="2025">
        <f t="shared" si="105"/>
        <v>8.3999999999999995E-3</v>
      </c>
      <c r="AC42" s="2899"/>
      <c r="AD42" s="2025">
        <f t="shared" si="105"/>
        <v>3.5000000000000001E-3</v>
      </c>
    </row>
    <row r="43" spans="1:30" s="2042" customFormat="1" ht="12.75">
      <c r="A43" s="2900" t="s">
        <v>2832</v>
      </c>
      <c r="B43" s="2028">
        <v>2021</v>
      </c>
      <c r="C43" s="2039">
        <v>4</v>
      </c>
      <c r="D43" s="2004"/>
      <c r="E43" s="2004">
        <v>0.57999999999999996</v>
      </c>
      <c r="F43" s="2004">
        <v>0.08</v>
      </c>
      <c r="G43" s="2004">
        <v>0.68</v>
      </c>
      <c r="H43" s="2912"/>
      <c r="I43" s="2005">
        <f t="shared" si="88"/>
        <v>0.08</v>
      </c>
      <c r="J43" s="2901"/>
      <c r="K43" s="2040"/>
      <c r="L43" s="2025">
        <f t="shared" si="89"/>
        <v>5.7999999999999996E-3</v>
      </c>
      <c r="M43" s="2025">
        <f t="shared" si="89"/>
        <v>8.0000000000000004E-4</v>
      </c>
      <c r="N43" s="2025">
        <f t="shared" si="89"/>
        <v>6.8000000000000005E-3</v>
      </c>
      <c r="O43" s="2025"/>
      <c r="P43" s="2025">
        <f t="shared" si="103"/>
        <v>8.0000000000000004E-4</v>
      </c>
      <c r="Q43" s="2901"/>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1"/>
      <c r="Y43" s="2025"/>
      <c r="Z43" s="2897">
        <f t="shared" si="105"/>
        <v>4.8999999999999998E-3</v>
      </c>
      <c r="AA43" s="2898">
        <f t="shared" si="105"/>
        <v>3.3E-3</v>
      </c>
      <c r="AB43" s="2025">
        <f t="shared" si="105"/>
        <v>9.1999999999999998E-3</v>
      </c>
      <c r="AC43" s="2899"/>
      <c r="AD43" s="2025">
        <f t="shared" si="105"/>
        <v>3.3E-3</v>
      </c>
    </row>
    <row r="44" spans="1:30" s="2042" customFormat="1" ht="12.75">
      <c r="A44" s="2900" t="s">
        <v>2833</v>
      </c>
      <c r="B44" s="2028">
        <v>2021</v>
      </c>
      <c r="C44" s="2039">
        <v>3</v>
      </c>
      <c r="D44" s="2004"/>
      <c r="E44" s="2004">
        <v>0.47</v>
      </c>
      <c r="F44" s="2004">
        <v>0.28000000000000003</v>
      </c>
      <c r="G44" s="2004">
        <v>0.91</v>
      </c>
      <c r="H44" s="2912"/>
      <c r="I44" s="2005">
        <f t="shared" si="88"/>
        <v>0.28000000000000003</v>
      </c>
      <c r="J44" s="2901"/>
      <c r="K44" s="2040"/>
      <c r="L44" s="2025">
        <f t="shared" si="89"/>
        <v>4.6999999999999993E-3</v>
      </c>
      <c r="M44" s="2025">
        <f t="shared" si="89"/>
        <v>2.8000000000000004E-3</v>
      </c>
      <c r="N44" s="2025">
        <f t="shared" si="89"/>
        <v>9.1000000000000004E-3</v>
      </c>
      <c r="O44" s="2025"/>
      <c r="P44" s="2025">
        <f t="shared" si="103"/>
        <v>2.8000000000000004E-3</v>
      </c>
      <c r="Q44" s="2901"/>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1"/>
      <c r="Y44" s="2025"/>
      <c r="Z44" s="2897">
        <f t="shared" si="105"/>
        <v>4.5999999999999999E-3</v>
      </c>
      <c r="AA44" s="2898">
        <f t="shared" si="105"/>
        <v>4.1000000000000003E-3</v>
      </c>
      <c r="AB44" s="2025">
        <f t="shared" si="105"/>
        <v>0.01</v>
      </c>
      <c r="AC44" s="2899"/>
      <c r="AD44" s="2025">
        <f t="shared" si="105"/>
        <v>4.1000000000000003E-3</v>
      </c>
    </row>
    <row r="45" spans="1:30" s="2042" customFormat="1" ht="12.75">
      <c r="A45" s="2900" t="s">
        <v>2834</v>
      </c>
      <c r="B45" s="2028">
        <v>2021</v>
      </c>
      <c r="C45" s="2039">
        <v>2</v>
      </c>
      <c r="D45" s="2004"/>
      <c r="E45" s="2004">
        <v>0.55000000000000004</v>
      </c>
      <c r="F45" s="2004">
        <v>0.46</v>
      </c>
      <c r="G45" s="2004">
        <v>1.1000000000000001</v>
      </c>
      <c r="H45" s="2912"/>
      <c r="I45" s="2005">
        <f t="shared" si="88"/>
        <v>0.46</v>
      </c>
      <c r="J45" s="2901"/>
      <c r="K45" s="2040"/>
      <c r="L45" s="2025">
        <f t="shared" si="89"/>
        <v>5.5000000000000005E-3</v>
      </c>
      <c r="M45" s="2025">
        <f t="shared" si="89"/>
        <v>4.5999999999999999E-3</v>
      </c>
      <c r="N45" s="2025">
        <f t="shared" si="89"/>
        <v>1.1000000000000001E-2</v>
      </c>
      <c r="O45" s="2025"/>
      <c r="P45" s="2025">
        <f t="shared" si="103"/>
        <v>4.5999999999999999E-3</v>
      </c>
      <c r="Q45" s="2901"/>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1"/>
      <c r="Y45" s="2025"/>
      <c r="Z45" s="2897">
        <f t="shared" si="105"/>
        <v>4.4999999999999997E-3</v>
      </c>
      <c r="AA45" s="2898">
        <f t="shared" si="105"/>
        <v>4.7000000000000002E-3</v>
      </c>
      <c r="AB45" s="2025">
        <f t="shared" si="105"/>
        <v>1.04E-2</v>
      </c>
      <c r="AC45" s="2899"/>
      <c r="AD45" s="2025">
        <f t="shared" si="105"/>
        <v>4.7000000000000002E-3</v>
      </c>
    </row>
    <row r="46" spans="1:30" s="2923" customFormat="1"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4.25" thickTop="1"/>
    <row r="48" spans="1:30">
      <c r="A48" s="3138"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6">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6"/>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6"/>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3"/>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9">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6"/>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6"/>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3"/>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9">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6"/>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6"/>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7"/>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05">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6"/>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6"/>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7"/>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05">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6"/>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6"/>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7"/>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0">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1"/>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1"/>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2"/>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05">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6"/>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6"/>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07"/>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05">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6">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6">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7">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05">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6">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6">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7">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05">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6">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6">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7">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05">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6">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6">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7">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05">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6">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6">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7">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05">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6">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6">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7">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05">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6">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6">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7">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05">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6">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6">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7">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05">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6">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6">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07">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05">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6">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6">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07">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45735</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0">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1"/>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2305</v>
      </c>
      <c r="C26" s="1204">
        <v>43697</v>
      </c>
      <c r="D26" s="2569">
        <v>4.25</v>
      </c>
      <c r="E26" s="2569">
        <v>4.25</v>
      </c>
      <c r="F26" s="2569">
        <v>4.25</v>
      </c>
      <c r="G26" s="2569">
        <v>4.25</v>
      </c>
      <c r="H26" s="2569">
        <v>4.8499999999999996</v>
      </c>
      <c r="I26" s="2569"/>
      <c r="J26" s="2569"/>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2"/>
      <c r="C27" s="2573">
        <v>42301</v>
      </c>
      <c r="D27" s="2574">
        <v>4.3499999999999996</v>
      </c>
      <c r="E27" s="2574">
        <v>4.3499999999999996</v>
      </c>
      <c r="F27" s="2574">
        <v>4.75</v>
      </c>
      <c r="G27" s="2574">
        <v>4.75</v>
      </c>
      <c r="H27" s="2574">
        <v>4.9000000000000004</v>
      </c>
      <c r="I27" s="2574"/>
      <c r="J27" s="2574"/>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798" t="s">
        <v>925</v>
      </c>
      <c r="E3" s="798" t="s">
        <v>931</v>
      </c>
      <c r="F3" s="798" t="s">
        <v>925</v>
      </c>
      <c r="G3" s="798" t="s">
        <v>926</v>
      </c>
      <c r="H3" s="798" t="s">
        <v>925</v>
      </c>
      <c r="I3" s="798" t="s">
        <v>926</v>
      </c>
    </row>
    <row r="4" spans="1:9" ht="30">
      <c r="A4" s="1400" t="str">
        <f>项目基本情况!S2</f>
        <v>北京经济技术开发区荣华中路19号1号楼房地产</v>
      </c>
      <c r="B4" s="798">
        <f>项目基本情况!C17</f>
        <v>67180.950000000026</v>
      </c>
      <c r="C4" s="798">
        <f>项目基本情况!C18</f>
        <v>0</v>
      </c>
      <c r="D4" s="798">
        <f ca="1">结果表!D118</f>
        <v>101786</v>
      </c>
      <c r="E4" s="798">
        <f ca="1">结果表!E118</f>
        <v>15151</v>
      </c>
      <c r="F4" s="798">
        <f ca="1">结果表!F118</f>
        <v>68425</v>
      </c>
      <c r="G4" s="798">
        <f ca="1">结果表!G118</f>
        <v>10185</v>
      </c>
      <c r="H4" s="798">
        <f ca="1">结果表!H118</f>
        <v>170211</v>
      </c>
      <c r="I4" s="798">
        <f ca="1">结果表!I118</f>
        <v>25336</v>
      </c>
    </row>
    <row r="5" spans="1:9" ht="30" customHeight="1">
      <c r="A5" s="3192" t="s">
        <v>927</v>
      </c>
      <c r="B5" s="3192"/>
      <c r="C5" s="3192"/>
      <c r="D5" s="3192" t="str">
        <f ca="1">结果表!D119</f>
        <v>壹拾亿壹仟柒佰捌拾陆万元整</v>
      </c>
      <c r="E5" s="3192"/>
      <c r="F5" s="3192" t="str">
        <f ca="1">结果表!F119</f>
        <v>陆亿捌仟肆佰贰拾伍万元整</v>
      </c>
      <c r="G5" s="3192"/>
      <c r="H5" s="3192" t="str">
        <f ca="1">结果表!H119</f>
        <v>壹拾柒亿零贰佰壹拾壹万元整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927</v>
      </c>
      <c r="B7" s="3192"/>
      <c r="C7" s="3192"/>
      <c r="D7" s="3194" t="str">
        <f>结果表!D121</f>
        <v>零元整</v>
      </c>
      <c r="E7" s="3195"/>
      <c r="F7" s="3195"/>
      <c r="G7" s="3195"/>
      <c r="H7" s="3195"/>
      <c r="I7" s="3196"/>
    </row>
    <row r="8" spans="1:9" ht="15.75">
      <c r="A8" s="3193" t="str">
        <f>结果表!A122</f>
        <v>房地产抵押价值</v>
      </c>
      <c r="B8" s="3193"/>
      <c r="C8" s="3193"/>
      <c r="D8" s="3193">
        <f ca="1">结果表!D122</f>
        <v>170211</v>
      </c>
      <c r="E8" s="3193"/>
      <c r="F8" s="3193"/>
      <c r="G8" s="3193"/>
      <c r="H8" s="3193"/>
      <c r="I8" s="3193"/>
    </row>
    <row r="9" spans="1:9" ht="15">
      <c r="A9" s="3192" t="s">
        <v>927</v>
      </c>
      <c r="B9" s="3192"/>
      <c r="C9" s="3192"/>
      <c r="D9" s="3192" t="str">
        <f ca="1">结果表!D123</f>
        <v>壹拾柒亿零贰佰壹拾壹万元整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199" t="s">
        <v>949</v>
      </c>
      <c r="B1" s="3199"/>
      <c r="C1" s="3199"/>
      <c r="D1" s="3199"/>
    </row>
    <row r="2" spans="1:4" ht="18">
      <c r="A2" s="3200" t="s">
        <v>933</v>
      </c>
      <c r="B2" s="3200"/>
      <c r="C2" s="3200"/>
      <c r="D2" s="3200"/>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00" t="s">
        <v>939</v>
      </c>
      <c r="B6" s="3200"/>
      <c r="C6" s="3200"/>
      <c r="D6" s="320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13" t="s">
        <v>956</v>
      </c>
      <c r="B15" s="3208" t="s">
        <v>109</v>
      </c>
      <c r="C15" s="3209"/>
    </row>
    <row r="16" spans="1:7" ht="13.5">
      <c r="A16" s="3214"/>
      <c r="B16" s="3208" t="s">
        <v>42</v>
      </c>
      <c r="C16" s="3209"/>
    </row>
    <row r="17" spans="1:3" ht="13.5">
      <c r="A17" s="3214"/>
      <c r="B17" s="3211" t="s">
        <v>957</v>
      </c>
      <c r="C17" s="1426" t="s">
        <v>956</v>
      </c>
    </row>
    <row r="18" spans="1:3" ht="13.5">
      <c r="A18" s="3214"/>
      <c r="B18" s="3211"/>
      <c r="C18" s="1426" t="s">
        <v>958</v>
      </c>
    </row>
    <row r="19" spans="1:3" ht="13.5">
      <c r="A19" s="3214"/>
      <c r="B19" s="3211"/>
      <c r="C19" s="1426" t="s">
        <v>959</v>
      </c>
    </row>
    <row r="20" spans="1:3" ht="13.5">
      <c r="A20" s="3215"/>
      <c r="B20" s="3210" t="s">
        <v>960</v>
      </c>
      <c r="C20" s="3209"/>
    </row>
    <row r="21" spans="1:3" ht="13.5">
      <c r="A21" s="1427" t="s">
        <v>961</v>
      </c>
      <c r="B21" s="1428"/>
      <c r="C21" s="1429"/>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6" t="s">
        <v>967</v>
      </c>
    </row>
    <row r="26" spans="1:3" ht="13.5">
      <c r="A26" s="3212"/>
      <c r="B26" s="3211"/>
      <c r="C26" s="1426" t="s">
        <v>968</v>
      </c>
    </row>
    <row r="27" spans="1:3" ht="13.5">
      <c r="A27" s="3212"/>
      <c r="B27" s="3211"/>
      <c r="C27" s="1426" t="s">
        <v>969</v>
      </c>
    </row>
    <row r="28" spans="1:3" ht="13.5">
      <c r="A28" s="3212"/>
      <c r="B28" s="3211"/>
      <c r="C28" s="1426" t="s">
        <v>970</v>
      </c>
    </row>
    <row r="29" spans="1:3" ht="13.5">
      <c r="A29" s="3212"/>
      <c r="B29" s="3211"/>
      <c r="C29" s="1426" t="s">
        <v>971</v>
      </c>
    </row>
    <row r="30" spans="1:3" ht="13.5">
      <c r="A30" s="3212"/>
      <c r="B30" s="3211"/>
      <c r="C30" s="1426" t="s">
        <v>972</v>
      </c>
    </row>
    <row r="31" spans="1:3" ht="13.5">
      <c r="A31" s="3212"/>
      <c r="B31" s="3211"/>
      <c r="C31" s="1426" t="s">
        <v>973</v>
      </c>
    </row>
    <row r="32" spans="1:3" ht="13.5">
      <c r="A32" s="3212"/>
      <c r="B32" s="3211"/>
      <c r="C32" s="1426" t="s">
        <v>974</v>
      </c>
    </row>
    <row r="33" spans="1:3" ht="13.5">
      <c r="A33" s="3212"/>
      <c r="B33" s="321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45742</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7"/>
      <c r="E18" s="3218" t="s">
        <v>2162</v>
      </c>
      <c r="F18" s="3217"/>
      <c r="G18" s="3217"/>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2025-03-26T01:49:14Z</dcterms:modified>
</cp:coreProperties>
</file>