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3" i="33" l="1"/>
  <c r="F103" i="33" s="1"/>
  <c r="G103" i="33" s="1"/>
  <c r="D103" i="33"/>
  <c r="C33" i="33"/>
  <c r="E104" i="33"/>
  <c r="F104" i="33" s="1"/>
  <c r="G104" i="33" s="1"/>
  <c r="D104" i="33"/>
  <c r="E89" i="33"/>
  <c r="F89" i="33" s="1"/>
  <c r="G89" i="33" s="1"/>
  <c r="D89" i="33"/>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W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F121" i="33"/>
  <c r="G121" i="33"/>
  <c r="H121" i="33"/>
  <c r="I121" i="33"/>
  <c r="J121" i="33"/>
  <c r="K121" i="33"/>
  <c r="L121" i="33"/>
  <c r="M121" i="33"/>
  <c r="S42" i="33"/>
  <c r="G108" i="33"/>
  <c r="H108" i="33"/>
  <c r="I108" i="33"/>
  <c r="J108" i="33"/>
  <c r="K108" i="33"/>
  <c r="L108" i="33"/>
  <c r="M108" i="33"/>
  <c r="J35" i="33"/>
  <c r="S37" i="33"/>
  <c r="AA37" i="33"/>
  <c r="S39" i="33"/>
  <c r="F101" i="33"/>
  <c r="G101" i="33"/>
  <c r="H101" i="33"/>
  <c r="I101" i="33"/>
  <c r="J101" i="33"/>
  <c r="K101" i="33"/>
  <c r="L101" i="33"/>
  <c r="M101" i="33"/>
  <c r="J32" i="33"/>
  <c r="W32" i="33" s="1"/>
  <c r="S46" i="33"/>
  <c r="W43" i="33"/>
  <c r="S43" i="33"/>
  <c r="J23" i="33"/>
  <c r="F85" i="33"/>
  <c r="H23" i="33"/>
  <c r="F81" i="33"/>
  <c r="F19" i="33"/>
  <c r="S19" i="33"/>
  <c r="W19" i="33"/>
  <c r="J17" i="33"/>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AB34" i="33"/>
  <c r="U44" i="33"/>
  <c r="AB44" i="33"/>
  <c r="S30" i="33"/>
  <c r="AA30" i="33"/>
  <c r="AC14" i="33"/>
  <c r="W14" i="33"/>
  <c r="AC30" i="33"/>
  <c r="W30" i="33"/>
  <c r="S31" i="33"/>
  <c r="AA31" i="33"/>
  <c r="W13" i="33"/>
  <c r="AC13" i="33"/>
  <c r="S11" i="33"/>
  <c r="U37"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D35" i="9"/>
  <c r="E13" i="76"/>
  <c r="L48" i="15"/>
  <c r="M8" i="67"/>
  <c r="B9" i="76"/>
  <c r="F7" i="67"/>
  <c r="B7" i="76"/>
  <c r="M28" i="15"/>
  <c r="F7" i="73"/>
  <c r="M24" i="67"/>
  <c r="F16" i="67"/>
  <c r="M26" i="15"/>
  <c r="F20" i="31"/>
  <c r="D7" i="73"/>
  <c r="M29" i="67"/>
  <c r="M9" i="15"/>
  <c r="E2" i="69"/>
  <c r="F4" i="73"/>
  <c r="F40" i="67"/>
  <c r="M26" i="67"/>
  <c r="F6" i="67"/>
  <c r="L47" i="67"/>
  <c r="F42" i="67"/>
  <c r="F5" i="73"/>
  <c r="M6" i="15"/>
  <c r="B8" i="76"/>
  <c r="C19" i="9"/>
  <c r="J15" i="67"/>
  <c r="E8" i="76"/>
  <c r="E11" i="76"/>
  <c r="E10" i="76"/>
  <c r="F36" i="67"/>
  <c r="M29" i="15"/>
  <c r="C20" i="9"/>
  <c r="F16" i="15"/>
  <c r="E12" i="76"/>
  <c r="D34" i="9"/>
  <c r="M22" i="15"/>
  <c r="M9" i="67"/>
  <c r="F37" i="67"/>
  <c r="E7" i="76"/>
  <c r="F43" i="15"/>
  <c r="F37" i="15"/>
  <c r="L47" i="15"/>
  <c r="E9" i="76"/>
  <c r="M6" i="67"/>
  <c r="F9" i="67"/>
  <c r="D19" i="9"/>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D20" i="9"/>
  <c r="C76" i="67"/>
  <c r="F38" i="15"/>
  <c r="B13" i="76"/>
  <c r="AC12" i="33" l="1"/>
  <c r="AA12" i="33"/>
  <c r="AB12" i="33"/>
  <c r="F15" i="33"/>
  <c r="J15" i="33"/>
  <c r="AC15" i="33" s="1"/>
  <c r="H15" i="33"/>
  <c r="F77" i="33"/>
  <c r="G77" i="33" s="1"/>
  <c r="W15" i="33"/>
  <c r="F91" i="33"/>
  <c r="G91" i="33" s="1"/>
  <c r="H91" i="33" s="1"/>
  <c r="I91" i="33" s="1"/>
  <c r="J91" i="33" s="1"/>
  <c r="K91" i="33" s="1"/>
  <c r="L91" i="33" s="1"/>
  <c r="M91" i="33" s="1"/>
  <c r="F27" i="33"/>
  <c r="H27" i="33"/>
  <c r="U27" i="33" s="1"/>
  <c r="J27" i="33"/>
  <c r="W27" i="33" s="1"/>
  <c r="F111" i="33"/>
  <c r="F36" i="33"/>
  <c r="J36" i="33"/>
  <c r="W36" i="33" s="1"/>
  <c r="S28" i="33"/>
  <c r="H25" i="33"/>
  <c r="U25" i="33" s="1"/>
  <c r="G87" i="33"/>
  <c r="H87" i="33" s="1"/>
  <c r="I87" i="33" s="1"/>
  <c r="J87" i="33" s="1"/>
  <c r="K87" i="33" s="1"/>
  <c r="L87" i="33" s="1"/>
  <c r="M87" i="33" s="1"/>
  <c r="F25" i="33"/>
  <c r="S25" i="33" s="1"/>
  <c r="J25" i="33"/>
  <c r="W25" i="33" s="1"/>
  <c r="AA25" i="33"/>
  <c r="U42" i="33"/>
  <c r="W38" i="33"/>
  <c r="S38" i="33"/>
  <c r="U33" i="33"/>
  <c r="S33" i="33"/>
  <c r="W33" i="33"/>
  <c r="S32" i="33"/>
  <c r="U32" i="33"/>
  <c r="AC32" i="33"/>
  <c r="AC28" i="33"/>
  <c r="AB28" i="33"/>
  <c r="AB27" i="33"/>
  <c r="AB26" i="33"/>
  <c r="AC25" i="33"/>
  <c r="W8" i="33"/>
  <c r="G28" i="6"/>
  <c r="A118" i="9"/>
  <c r="D19" i="53"/>
  <c r="B38" i="72" s="1"/>
  <c r="D21" i="53"/>
  <c r="B39" i="72" s="1"/>
  <c r="D16" i="53"/>
  <c r="B34" i="72" s="1"/>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C16" i="67"/>
  <c r="C16" i="15"/>
  <c r="G1" i="73"/>
  <c r="AB15" i="33" l="1"/>
  <c r="U15" i="33"/>
  <c r="AA15" i="33"/>
  <c r="S15" i="33"/>
  <c r="AA27" i="33"/>
  <c r="S27" i="33"/>
  <c r="AC27" i="33"/>
  <c r="AC36" i="33"/>
  <c r="AA36" i="33"/>
  <c r="S36" i="33"/>
  <c r="H36" i="33"/>
  <c r="G111" i="33"/>
  <c r="H111" i="33" s="1"/>
  <c r="I111" i="33" s="1"/>
  <c r="J111" i="33" s="1"/>
  <c r="K111" i="33" s="1"/>
  <c r="L111" i="33" s="1"/>
  <c r="M111" i="33" s="1"/>
  <c r="AB2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U36" i="33" l="1"/>
  <c r="AB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6" i="1"/>
  <c r="AO9" i="1"/>
  <c r="AO10" i="1"/>
  <c r="AO11" i="1"/>
  <c r="AO8"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I4" i="52"/>
  <c r="C105" i="9"/>
  <c r="C104" i="9"/>
  <c r="H4" i="52"/>
  <c r="N61" i="9"/>
  <c r="N60" i="9"/>
  <c r="P57" i="9"/>
  <c r="N58" i="9"/>
  <c r="N59" i="9"/>
  <c r="C5" i="74"/>
  <c r="B30" i="72"/>
  <c r="B49" i="72"/>
  <c r="M48" i="9"/>
  <c r="B20" i="72"/>
  <c r="B47" i="72"/>
  <c r="C81" i="9"/>
  <c r="B51" i="72"/>
  <c r="F4" i="52"/>
  <c r="D8" i="52"/>
  <c r="D14" i="53"/>
  <c r="B32" i="72"/>
  <c r="B48" i="72"/>
  <c r="D54" i="9"/>
  <c r="D13" i="53"/>
  <c r="B31" i="72"/>
  <c r="L66" i="9"/>
  <c r="M66" i="9"/>
  <c r="L64" i="9"/>
  <c r="M64" i="9"/>
  <c r="H119" i="9"/>
  <c r="H5" i="52"/>
  <c r="C68" i="9"/>
  <c r="D4" i="52"/>
  <c r="D119" i="9"/>
  <c r="D5" i="52"/>
  <c r="D56" i="9"/>
  <c r="M54" i="9"/>
  <c r="F119" i="9"/>
  <c r="F5" i="52"/>
  <c r="B53" i="72"/>
  <c r="D59" i="9"/>
  <c r="M55" i="9"/>
  <c r="F118" i="9"/>
  <c r="G118" i="9"/>
  <c r="G4" i="52"/>
  <c r="B52" i="72"/>
  <c r="C93" i="9"/>
  <c r="C86" i="9"/>
  <c r="D5" i="53"/>
  <c r="D6" i="53"/>
  <c r="B22" i="72"/>
  <c r="C78" i="9"/>
  <c r="C73" i="9"/>
  <c r="C6" i="74"/>
  <c r="H108" i="9"/>
  <c r="D15" i="53"/>
  <c r="E81" i="9"/>
  <c r="D122" i="9"/>
  <c r="D123" i="9"/>
  <c r="D9" i="52"/>
  <c r="E4" i="52"/>
  <c r="E118" i="9"/>
  <c r="D118" i="9"/>
  <c r="D55" i="9"/>
  <c r="M53" i="9"/>
  <c r="N57" i="9"/>
  <c r="C96" i="9"/>
  <c r="E96" i="9"/>
  <c r="E97" i="9"/>
  <c r="C64" i="9"/>
  <c r="C63" i="9"/>
  <c r="C67" i="9"/>
  <c r="H102" i="9"/>
  <c r="D7" i="53"/>
  <c r="B21" i="72"/>
  <c r="L63" i="9"/>
  <c r="M63" i="9"/>
  <c r="M69" i="9"/>
  <c r="N69" i="9"/>
  <c r="L68" i="9"/>
  <c r="M68" i="9"/>
  <c r="L65" i="9"/>
  <c r="M65" i="9"/>
  <c r="C97" i="9"/>
  <c r="D58" i="9"/>
  <c r="H107" i="9"/>
  <c r="M49" i="9"/>
  <c r="L67" i="9"/>
  <c r="M67" i="9"/>
  <c r="C72" i="9"/>
  <c r="C79" i="9"/>
  <c r="C80" i="9"/>
  <c r="E80"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<sst xmlns="http://schemas.openxmlformats.org/spreadsheetml/2006/main" count="7845" uniqueCount="3433">
  <si>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</si>
  <si>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</si>
  <si>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</si>
  <si>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</si>
  <si>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</si>
  <si>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</si>
  <si>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</si>
  <si>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</si>
  <si>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</si>
  <si>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</si>
  <si>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</si>
  <si>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</si>
  <si>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</si>
  <si>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</si>
  <si>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</si>
  <si>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</si>
  <si>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</si>
  <si>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</si>
  <si>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</si>
  <si>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</si>
  <si>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</si>
  <si>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</si>
  <si>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</si>
  <si>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</si>
  <si>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</si>
  <si>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</si>
  <si>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</si>
  <si>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</si>
  <si>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</si>
  <si>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</si>
  <si>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</si>
  <si>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</si>
  <si>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</si>
  <si>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</si>
  <si>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</si>
  <si>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</si>
  <si>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</si>
  <si>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</si>
  <si>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</si>
  <si>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</si>
  <si>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</si>
  <si>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</si>
  <si>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</si>
  <si>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</si>
  <si>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</si>
  <si>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</si>
  <si>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</si>
  <si>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</si>
  <si>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</si>
  <si>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</si>
  <si>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</si>
  <si>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</si>
  <si>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</si>
  <si>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</si>
  <si>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</si>
  <si>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</si>
  <si>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</si>
  <si>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</si>
  <si>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</si>
  <si>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</si>
  <si>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</si>
  <si>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</si>
  <si>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</si>
  <si>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</si>
  <si>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</si>
  <si>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</si>
  <si>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</si>
  <si>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</si>
  <si>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</si>
  <si>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</si>
  <si>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</si>
  <si>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</si>
  <si>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</si>
  <si>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</si>
  <si>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</si>
  <si>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</si>
  <si>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</si>
  <si>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</si>
  <si>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</si>
  <si>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</si>
  <si>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</si>
  <si>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</si>
  <si>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</si>
  <si>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</si>
  <si>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</si>
  <si>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</si>
  <si>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</si>
  <si>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</si>
  <si>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</si>
  <si>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</si>
  <si>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</si>
  <si>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</si>
  <si>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</si>
  <si>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</si>
  <si>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</si>
  <si>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</si>
  <si>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</si>
  <si>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</si>
  <si>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</si>
  <si>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</si>
  <si>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</si>
  <si>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</si>
  <si>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</si>
  <si>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</si>
  <si>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</si>
  <si>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</si>
  <si>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</si>
  <si>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</si>
  <si>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</si>
  <si>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</si>
  <si>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</si>
  <si>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</si>
  <si>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</si>
  <si>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</si>
  <si>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</si>
  <si>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</si>
  <si>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</si>
  <si>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</si>
  <si>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</si>
  <si>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</si>
  <si>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</si>
  <si>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</si>
  <si>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</si>
  <si>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</si>
  <si>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</si>
  <si>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</si>
  <si>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</si>
  <si>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</si>
  <si>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</si>
  <si>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</si>
  <si>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</si>
  <si>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</si>
  <si>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</si>
  <si>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</si>
  <si>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</si>
  <si>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</si>
  <si>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</si>
  <si>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</si>
  <si>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</si>
  <si>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</si>
  <si>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</si>
  <si>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</si>
  <si>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</si>
  <si>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</si>
  <si>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</si>
  <si>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</si>
  <si>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</si>
  <si>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</si>
  <si>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</si>
  <si>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</si>
  <si>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</si>
  <si>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</si>
  <si>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</si>
  <si>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</si>
  <si>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</si>
  <si>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</si>
  <si>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</si>
  <si>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</si>
  <si>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</si>
  <si>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</si>
  <si>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</si>
  <si>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</si>
  <si>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</si>
  <si>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</si>
  <si>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</si>
  <si>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</si>
  <si>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</si>
  <si>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</si>
  <si>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</si>
  <si>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</si>
  <si>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</si>
  <si>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</si>
  <si>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</si>
  <si>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</si>
  <si>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</si>
  <si>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</si>
  <si>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</si>
  <si>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</si>
  <si>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</si>
  <si>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</si>
  <si>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</si>
  <si>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</si>
  <si>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</si>
  <si>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</si>
  <si>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</si>
  <si>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</si>
  <si>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</si>
  <si>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</si>
  <si>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</si>
  <si>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</si>
  <si>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</si>
  <si>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</si>
  <si>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</si>
  <si>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</si>
  <si>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</si>
  <si>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</si>
  <si>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</si>
  <si>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</si>
  <si>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</si>
  <si>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</si>
  <si>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</si>
  <si>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</si>
  <si>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</si>
  <si>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</si>
  <si>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</si>
  <si>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</si>
  <si>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</si>
  <si>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</si>
  <si>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</si>
  <si>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</si>
  <si>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</si>
  <si>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</si>
  <si>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</si>
  <si>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</si>
  <si>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</si>
  <si>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</si>
  <si>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</si>
  <si>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</si>
  <si>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</si>
  <si>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</si>
  <si>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</si>
  <si>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</si>
  <si>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</si>
  <si>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</si>
  <si>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</si>
  <si>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</si>
  <si>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</si>
  <si>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</si>
  <si>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</si>
  <si>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</si>
  <si>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</si>
  <si>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</si>
  <si>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</si>
  <si>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</si>
  <si>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</si>
  <si>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</si>
  <si>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</si>
  <si>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</si>
  <si>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</si>
  <si>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</si>
  <si>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</si>
  <si>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</si>
  <si>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</si>
  <si>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</si>
  <si>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</si>
  <si>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</si>
  <si>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</si>
  <si>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</si>
  <si>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</si>
  <si>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</si>
  <si>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</si>
  <si>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</si>
  <si>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</si>
  <si>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</si>
  <si>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</si>
  <si>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</si>
  <si>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</si>
  <si>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</si>
  <si>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</si>
  <si>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</si>
  <si>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</si>
  <si>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</si>
  <si>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</si>
  <si>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</si>
  <si>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</si>
  <si>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</si>
  <si>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</si>
  <si>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</si>
  <si>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</si>
  <si>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</si>
  <si>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</si>
  <si>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</si>
  <si>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</si>
  <si>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</si>
  <si>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</si>
  <si>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</si>
  <si>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</si>
  <si>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</si>
  <si>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</si>
  <si>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</si>
  <si>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</si>
  <si>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</si>
  <si>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</si>
  <si>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</si>
  <si>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</si>
  <si>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</si>
  <si>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</si>
  <si>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</si>
  <si>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</si>
  <si>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</si>
  <si>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</si>
  <si>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</si>
  <si>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</si>
  <si>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</si>
  <si>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</si>
  <si>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</si>
  <si>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</si>
  <si>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</si>
  <si>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</si>
  <si>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</si>
  <si>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</si>
  <si>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</si>
  <si>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</si>
  <si>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</si>
  <si>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</si>
  <si>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</si>
  <si>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</si>
  <si>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</si>
  <si>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</si>
  <si>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</si>
  <si>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</si>
  <si>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</si>
  <si>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</si>
  <si>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</si>
  <si>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</si>
  <si>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</si>
  <si>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</si>
  <si>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</si>
  <si>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</si>
  <si>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</si>
  <si>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</si>
  <si>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</si>
  <si>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</si>
  <si>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</si>
  <si>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</si>
  <si>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</si>
  <si>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</si>
  <si>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</si>
  <si>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</si>
  <si>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</si>
  <si>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</si>
  <si>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</si>
  <si>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</si>
  <si>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</si>
  <si>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</si>
  <si>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</si>
  <si>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</si>
  <si>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</si>
  <si>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</si>
  <si>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</si>
  <si>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</si>
  <si>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</si>
  <si>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</si>
  <si>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</si>
  <si>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</si>
  <si>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</si>
  <si>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</si>
  <si>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</si>
  <si>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</si>
  <si>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</si>
  <si>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</si>
  <si>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</si>
  <si>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</si>
  <si>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</si>
  <si>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</si>
  <si>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</si>
  <si>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</si>
  <si>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</si>
  <si>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</si>
  <si>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</si>
  <si>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</si>
  <si>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</si>
  <si>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</si>
  <si>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</si>
  <si>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</si>
  <si>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</si>
  <si>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</si>
  <si>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</si>
  <si>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</si>
  <si>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</si>
  <si>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</si>
  <si>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</si>
  <si>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</si>
  <si>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</si>
  <si>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</si>
  <si>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</si>
  <si>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</si>
  <si>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</si>
  <si>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</si>
  <si>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</si>
  <si>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</si>
  <si>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</si>
  <si>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</si>
  <si>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</si>
  <si>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</si>
  <si>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</si>
  <si>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</si>
  <si>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</si>
  <si>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</si>
  <si>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</si>
  <si>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</si>
  <si>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</si>
  <si>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</si>
  <si>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</si>
  <si>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</si>
  <si>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</si>
  <si>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</si>
  <si>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</si>
  <si>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</si>
  <si>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</si>
  <si>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</si>
  <si>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</si>
  <si>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</si>
  <si>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</si>
  <si>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</si>
  <si>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</si>
  <si>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</si>
  <si>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</si>
  <si>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</si>
  <si>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</si>
  <si>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</si>
  <si>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</si>
  <si>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</si>
  <si>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</si>
  <si>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</si>
  <si>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</si>
  <si>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</si>
  <si>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</si>
  <si>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</si>
  <si>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</si>
  <si>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</si>
  <si>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</si>
  <si>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</si>
  <si>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</si>
  <si>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</si>
  <si>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</si>
  <si>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</si>
  <si>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</si>
  <si>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</si>
  <si>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</si>
  <si>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</si>
  <si>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</si>
  <si>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</si>
  <si>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</si>
  <si>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</si>
  <si>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</si>
  <si>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</si>
  <si>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</si>
  <si>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</si>
  <si>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</si>
  <si>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</si>
  <si>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</si>
  <si>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</si>
  <si>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</si>
  <si>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</si>
  <si>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</si>
  <si>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</si>
  <si>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</si>
  <si>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</si>
  <si>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</si>
  <si>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</si>
  <si>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</si>
  <si>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</si>
  <si>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</si>
  <si>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</si>
  <si>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</si>
  <si>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</si>
  <si>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</si>
  <si>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</si>
  <si>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</si>
  <si>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</si>
  <si>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</si>
  <si>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</si>
  <si>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</si>
  <si>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</si>
  <si>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</si>
  <si>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</si>
  <si>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</si>
  <si>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</si>
  <si>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</si>
  <si>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</si>
  <si>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</si>
  <si>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</si>
  <si>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</si>
  <si>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</si>
  <si>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</si>
  <si>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</si>
  <si>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</si>
  <si>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</si>
  <si>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</si>
  <si>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</si>
  <si>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</si>
  <si>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</si>
  <si>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</si>
  <si>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</si>
  <si>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</si>
  <si>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</si>
  <si>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</si>
  <si>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</si>
  <si>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</si>
  <si>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</si>
  <si>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</si>
  <si>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</si>
  <si>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</si>
  <si>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</si>
  <si>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</si>
  <si>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</si>
  <si>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</si>
  <si>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</si>
  <si>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</si>
  <si>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</si>
  <si>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</si>
  <si>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</si>
  <si>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</si>
  <si>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</si>
  <si>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</si>
  <si>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</si>
  <si>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</si>
  <si>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</si>
  <si>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</si>
  <si>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</si>
  <si>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</si>
  <si>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</si>
  <si>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</si>
  <si>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</si>
  <si>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</si>
  <si>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</si>
  <si>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</si>
  <si>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</si>
  <si>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</si>
  <si>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</si>
  <si>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</si>
  <si>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</si>
  <si>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</si>
  <si>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</si>
  <si>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</si>
  <si>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</si>
  <si>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</si>
  <si>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</si>
  <si>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</si>
  <si>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</si>
  <si>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</si>
  <si>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</si>
  <si>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</si>
  <si>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</si>
  <si>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</si>
  <si>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</si>
  <si>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</si>
  <si>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</si>
  <si>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</si>
  <si>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</si>
  <si>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</si>
  <si>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</si>
  <si>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</si>
  <si>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</si>
  <si>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</si>
  <si>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</si>
  <si>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</si>
  <si>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</si>
  <si>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</si>
  <si>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</si>
  <si>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</si>
  <si>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</si>
  <si>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</si>
  <si>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</si>
  <si>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</si>
  <si>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</si>
  <si>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</si>
  <si>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</si>
  <si>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</si>
  <si>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</si>
  <si>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</si>
  <si>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</si>
  <si>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</si>
  <si>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</si>
  <si>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</si>
  <si>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</si>
  <si>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</si>
  <si>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</si>
  <si>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</si>
  <si>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</si>
  <si>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</si>
  <si>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</si>
  <si>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</si>
  <si>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</si>
  <si>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</si>
  <si>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</si>
  <si>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</si>
  <si>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</si>
  <si>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</si>
  <si>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</si>
  <si>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</si>
  <si>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</si>
  <si>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</si>
  <si>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</si>
  <si>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</si>
  <si>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</si>
  <si>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</si>
  <si>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</si>
  <si>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</si>
  <si>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</si>
  <si>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</si>
  <si>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</si>
  <si>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</si>
  <si>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</si>
  <si>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</si>
  <si>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</si>
  <si>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</si>
  <si>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</si>
  <si>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</si>
  <si>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</si>
  <si>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</si>
  <si>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</si>
  <si>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</si>
  <si>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</si>
  <si>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</si>
  <si>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</si>
  <si>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</si>
  <si>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</si>
  <si>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</si>
  <si>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</si>
  <si>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</si>
  <si>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</si>
  <si>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</si>
  <si>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</si>
  <si>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</si>
  <si>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</si>
  <si>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</si>
  <si>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</si>
  <si>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</si>
  <si>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</si>
  <si>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</si>
  <si>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</si>
  <si>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</si>
  <si>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</si>
  <si>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</si>
  <si>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</si>
  <si>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</si>
  <si>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</si>
  <si>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</si>
  <si>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</si>
  <si>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</si>
  <si>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</si>
  <si>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</si>
  <si>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</si>
  <si>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</si>
  <si>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</si>
  <si>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</si>
  <si>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</si>
  <si>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</si>
  <si>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</si>
  <si>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</si>
  <si>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</si>
  <si>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</si>
  <si>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</si>
  <si>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</si>
  <si>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</si>
  <si>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</si>
  <si>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</si>
  <si>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</si>
  <si>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</si>
  <si>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</si>
  <si>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</si>
  <si>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</si>
  <si>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</si>
  <si>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</si>
  <si>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</si>
  <si>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</si>
  <si>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</si>
  <si>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</si>
  <si>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</si>
  <si>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</si>
  <si>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</si>
  <si>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</si>
  <si>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</si>
  <si>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</si>
  <si>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</si>
  <si>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</si>
  <si>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</si>
  <si>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</si>
  <si>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</si>
  <si>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</si>
  <si>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</si>
  <si>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</si>
  <si>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</si>
  <si>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</si>
  <si>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</si>
  <si>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</si>
  <si>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</si>
  <si>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</si>
  <si>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</si>
  <si>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</si>
  <si>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</si>
  <si>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</si>
  <si>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</si>
  <si>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</si>
  <si>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</si>
  <si>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</si>
  <si>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</si>
  <si>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</si>
  <si>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</si>
  <si>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</si>
  <si>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</si>
  <si>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</si>
  <si>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</si>
  <si>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</si>
  <si>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</si>
  <si>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</si>
  <si>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</si>
  <si>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</si>
  <si>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</si>
  <si>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</si>
  <si>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</si>
  <si>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</si>
  <si>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</si>
  <si>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</si>
  <si>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</si>
  <si>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</si>
  <si>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</si>
  <si>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</si>
  <si>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</si>
  <si>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</si>
  <si>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</si>
  <si>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</si>
  <si>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</si>
  <si>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</si>
  <si>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</si>
  <si>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</si>
  <si>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</si>
  <si>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</si>
  <si>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</si>
  <si>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</si>
  <si>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</si>
  <si>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</si>
  <si>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</si>
  <si>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</si>
  <si>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</si>
  <si>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</si>
  <si>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</si>
  <si>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</si>
  <si>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</si>
  <si>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</si>
  <si>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</si>
  <si>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</si>
  <si>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</si>
  <si>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</si>
  <si>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</si>
  <si>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</si>
  <si>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</si>
  <si>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</si>
  <si>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</si>
  <si>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</si>
  <si>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</si>
  <si>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</si>
  <si>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</si>
  <si>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</si>
  <si>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</si>
  <si>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</si>
  <si>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</si>
  <si>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</si>
  <si>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</si>
  <si>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</si>
  <si>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</si>
  <si>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</si>
  <si>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</si>
  <si>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</si>
  <si>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</si>
  <si>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</si>
  <si>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</si>
  <si>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</si>
  <si>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</si>
  <si>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</si>
  <si>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</si>
  <si>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</si>
  <si>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</si>
  <si>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</si>
  <si>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</si>
  <si>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</si>
  <si>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</si>
  <si>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</si>
  <si>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</si>
  <si>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</si>
  <si>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</si>
  <si>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</si>
  <si>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</si>
  <si>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</si>
  <si>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</si>
  <si>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</si>
  <si>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</si>
  <si>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</si>
  <si>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</si>
  <si>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</si>
  <si>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</si>
  <si>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</si>
  <si>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</si>
  <si>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</si>
  <si>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</si>
  <si>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</si>
  <si>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</si>
  <si>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</si>
  <si>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</si>
  <si>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</si>
  <si>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</si>
  <si>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</si>
  <si>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</si>
  <si>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</si>
  <si>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</si>
  <si>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</si>
  <si>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</si>
  <si>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</si>
  <si>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</si>
  <si>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</si>
  <si>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</si>
  <si>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</si>
  <si>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</si>
  <si>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</si>
  <si>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</si>
  <si>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</si>
  <si>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</si>
  <si>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</si>
  <si>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</si>
  <si>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</si>
  <si>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</si>
  <si>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</si>
  <si>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</si>
  <si>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</si>
  <si>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</si>
  <si>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</si>
  <si>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</si>
  <si>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</si>
  <si>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</si>
  <si>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</si>
  <si>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</si>
  <si>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</si>
  <si>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</si>
  <si>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</si>
  <si>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</si>
  <si>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</si>
  <si>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</si>
  <si>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</si>
  <si>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</si>
  <si>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</si>
  <si>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</si>
  <si>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</si>
  <si>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</si>
  <si>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</si>
  <si>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</si>
  <si>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</si>
  <si>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</si>
  <si>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</si>
  <si>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</si>
  <si>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</si>
  <si>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</si>
  <si>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</si>
  <si>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</si>
  <si>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</si>
  <si>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</si>
  <si>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</si>
  <si>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</si>
  <si>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</si>
  <si>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</si>
  <si>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</si>
  <si>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</si>
  <si>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</si>
  <si>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</si>
  <si>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</si>
  <si>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</si>
  <si>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</si>
  <si>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</si>
  <si>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</si>
  <si>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</si>
  <si>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</si>
  <si>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</si>
  <si>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</si>
  <si>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</si>
  <si>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</si>
  <si>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</si>
  <si>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</si>
  <si>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</si>
  <si>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</si>
  <si>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</si>
  <si>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</si>
  <si>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</si>
  <si>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</si>
  <si>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</si>
  <si>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</si>
  <si>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</si>
  <si>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</si>
  <si>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</si>
  <si>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</si>
  <si>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</si>
  <si>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</si>
  <si>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</si>
  <si>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</si>
  <si>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</si>
  <si>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</si>
  <si>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</si>
  <si>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</si>
  <si>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</si>
  <si>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</si>
  <si>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</si>
  <si>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</si>
  <si>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</si>
  <si>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</si>
  <si>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</si>
  <si>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</si>
  <si>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</si>
  <si>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</si>
  <si>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</si>
  <si>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</si>
  <si>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</si>
  <si>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</si>
  <si>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</si>
  <si>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</si>
  <si>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</si>
  <si>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</si>
  <si>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</si>
  <si>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</si>
  <si>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</si>
  <si>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</si>
  <si>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</si>
  <si>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</si>
  <si>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</si>
  <si>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</si>
  <si>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</si>
  <si>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</si>
  <si>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</si>
  <si>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</si>
  <si>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</si>
  <si>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</si>
  <si>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</si>
  <si>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</si>
  <si>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</si>
  <si>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</si>
  <si>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</si>
  <si>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</si>
  <si>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</si>
  <si>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</si>
  <si>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</si>
  <si>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</si>
  <si>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</si>
  <si>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</si>
  <si>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</si>
  <si>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</si>
  <si>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</si>
  <si>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</si>
  <si>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</si>
  <si>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</si>
  <si>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</si>
  <si>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</si>
  <si>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</si>
  <si>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</si>
  <si>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</si>
  <si>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</si>
  <si>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</si>
  <si>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</si>
  <si>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</si>
  <si>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</si>
  <si>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</si>
  <si>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</si>
  <si>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</si>
  <si>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</si>
  <si>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</si>
  <si>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</si>
  <si>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</si>
  <si>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</si>
  <si>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</si>
  <si>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</si>
  <si>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</si>
  <si>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</si>
  <si>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</si>
  <si>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</si>
  <si>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</si>
  <si>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</si>
  <si>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</si>
  <si>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</si>
  <si>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</si>
  <si>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</si>
  <si>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</si>
  <si>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</si>
  <si>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</si>
  <si>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</si>
  <si>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</si>
  <si>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</si>
  <si>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</si>
  <si>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</si>
  <si>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</si>
  <si>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</si>
  <si>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</si>
  <si>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</si>
  <si>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</si>
  <si>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</si>
  <si>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</si>
  <si>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</si>
  <si>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</si>
  <si>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</si>
  <si>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</si>
  <si>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</si>
  <si>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</si>
  <si>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</si>
  <si>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</si>
  <si>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</si>
  <si>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</si>
  <si>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</si>
  <si>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</si>
  <si>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</si>
  <si>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</si>
  <si>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</si>
  <si>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</si>
  <si>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</si>
  <si>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</si>
  <si>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</si>
  <si>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</si>
  <si>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</si>
  <si>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</si>
  <si>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</si>
  <si>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</si>
  <si>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</si>
  <si>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</si>
  <si>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</si>
  <si>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</si>
  <si>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</si>
  <si>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</si>
  <si>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</si>
  <si>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</si>
  <si>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</si>
  <si>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</si>
  <si>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</si>
  <si>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</si>
  <si>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</si>
  <si>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</si>
  <si>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</si>
  <si>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</si>
  <si>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</si>
  <si>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</si>
  <si>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</si>
  <si>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</si>
  <si>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</si>
  <si>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</si>
  <si>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</si>
  <si>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</si>
  <si>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</si>
  <si>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</si>
  <si>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</si>
  <si>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</si>
  <si>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</si>
  <si>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</si>
  <si>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</si>
  <si>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</si>
  <si>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</si>
  <si>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</si>
  <si>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</si>
  <si>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</si>
  <si>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</si>
  <si>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</si>
  <si>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</si>
  <si>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</si>
  <si>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</si>
  <si>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</si>
  <si>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</si>
  <si>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</si>
  <si>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</si>
  <si>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</si>
  <si>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</si>
  <si>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</si>
  <si>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</si>
  <si>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</si>
  <si>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</si>
  <si>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</si>
  <si>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</si>
  <si>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</si>
  <si>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</si>
  <si>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</si>
  <si>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</si>
  <si>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</si>
  <si>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</si>
  <si>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</si>
  <si>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</si>
  <si>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</si>
  <si>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</si>
  <si>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</si>
  <si>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</si>
  <si>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</si>
  <si>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</si>
  <si>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</si>
  <si>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</si>
  <si>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</si>
  <si>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</si>
  <si>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</si>
  <si>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</si>
  <si>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</si>
  <si>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</si>
  <si>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</si>
  <si>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</si>
  <si>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</si>
  <si>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</si>
  <si>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</si>
  <si>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</si>
  <si>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</si>
  <si>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</si>
  <si>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</si>
  <si>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</si>
  <si>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</si>
  <si>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</si>
  <si>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</si>
  <si>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</si>
  <si>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</si>
  <si>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</si>
  <si>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</si>
  <si>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</si>
  <si>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</si>
  <si>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</si>
  <si>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</si>
  <si>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</si>
  <si>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</si>
  <si>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</si>
  <si>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</si>
  <si>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</si>
  <si>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</si>
  <si>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</si>
  <si>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</si>
  <si>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</si>
  <si>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</si>
  <si>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</si>
  <si>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</si>
  <si>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</si>
  <si>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</si>
  <si>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</si>
  <si>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</si>
  <si>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</si>
  <si>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</si>
  <si>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</si>
  <si>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</si>
  <si>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</si>
  <si>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</si>
  <si>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</si>
  <si>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</si>
  <si>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</si>
  <si>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</si>
  <si>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</si>
  <si>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</si>
  <si>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</si>
  <si>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</si>
  <si>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</si>
  <si>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</si>
  <si>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</si>
  <si>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</si>
  <si>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</si>
  <si>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</si>
  <si>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</si>
  <si>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</si>
  <si>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</si>
  <si>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</si>
  <si>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</si>
  <si>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</si>
  <si>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</si>
  <si>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</si>
  <si>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</si>
  <si>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</si>
  <si>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</si>
  <si>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</si>
  <si>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</si>
  <si>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</si>
  <si>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</si>
  <si>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</si>
  <si>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</si>
  <si>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</si>
  <si>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</si>
  <si>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</si>
  <si>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</si>
  <si>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</si>
  <si>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</si>
  <si>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</si>
  <si>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</si>
  <si>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</si>
  <si>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</si>
  <si>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</si>
  <si>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</si>
  <si>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</si>
  <si>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</si>
  <si>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</si>
  <si>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</si>
  <si>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</si>
  <si>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</si>
  <si>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</si>
  <si>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</si>
  <si>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</si>
  <si>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</si>
  <si>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</si>
  <si>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</si>
  <si>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</si>
  <si>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</si>
  <si>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</si>
  <si>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</si>
  <si>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</si>
  <si>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</si>
  <si>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</si>
  <si>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</si>
  <si>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</si>
  <si>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</si>
  <si>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</si>
  <si>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</si>
  <si>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</si>
  <si>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</si>
  <si>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</si>
  <si>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</si>
  <si>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</si>
  <si>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</si>
  <si>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</si>
  <si>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</si>
  <si>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</si>
  <si>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</si>
  <si>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</si>
  <si>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</si>
  <si>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</si>
  <si>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</si>
  <si>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</si>
  <si>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</si>
  <si>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</si>
  <si>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</si>
  <si>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</si>
  <si>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</si>
  <si>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</si>
  <si>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</si>
  <si>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</si>
  <si>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</si>
  <si>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</si>
  <si>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</si>
  <si>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</si>
  <si>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</si>
  <si>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</si>
  <si>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</si>
  <si>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</si>
  <si>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</si>
  <si>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</si>
  <si>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</si>
  <si>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</si>
  <si>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</si>
  <si>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</si>
  <si>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</si>
  <si>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</si>
  <si>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</si>
  <si>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</si>
  <si>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</si>
  <si>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</si>
  <si>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</si>
  <si>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</si>
  <si>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</si>
  <si>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</si>
  <si>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</si>
  <si>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</si>
  <si>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</si>
  <si>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</si>
  <si>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</si>
  <si>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</si>
  <si>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</si>
  <si>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</si>
  <si>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</si>
  <si>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</si>
  <si>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</si>
  <si>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</si>
  <si>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</si>
  <si>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</si>
  <si>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</si>
  <si>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</si>
  <si>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</si>
  <si>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</si>
  <si>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</si>
  <si>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</si>
  <si>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</si>
  <si>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</si>
  <si>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</si>
  <si>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</si>
  <si>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</si>
  <si>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</si>
  <si>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</si>
  <si>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</si>
  <si>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</si>
  <si>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</si>
  <si>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</si>
  <si>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</si>
  <si>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</si>
  <si>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</si>
  <si>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</si>
  <si>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</si>
  <si>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</si>
  <si>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</si>
  <si>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</si>
  <si>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</si>
  <si>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</si>
  <si>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</si>
  <si>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</si>
  <si>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</si>
  <si>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</si>
  <si>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</si>
  <si>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</si>
  <si>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</si>
  <si>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</si>
  <si>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</si>
  <si>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</si>
  <si>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</si>
  <si>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</si>
  <si>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</si>
  <si>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</si>
  <si>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</si>
  <si>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</si>
  <si>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</si>
  <si>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</si>
  <si>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</si>
  <si>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</si>
  <si>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</si>
  <si>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</si>
  <si>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</si>
  <si>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</si>
  <si>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</si>
  <si>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</si>
  <si>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</si>
  <si>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</si>
  <si>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</si>
  <si>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</si>
  <si>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</si>
  <si>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</si>
  <si>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</si>
  <si>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</si>
  <si>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</si>
  <si>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</si>
  <si>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</si>
  <si>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</si>
  <si>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</si>
  <si>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</si>
  <si>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</si>
  <si>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</si>
  <si>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</si>
  <si>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</si>
  <si>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</si>
  <si>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</si>
  <si>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</si>
  <si>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</si>
  <si>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</si>
  <si>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</si>
  <si>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</si>
  <si>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</si>
  <si>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</si>
  <si>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</si>
  <si>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</si>
  <si>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</si>
  <si>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</si>
  <si>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</si>
  <si>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</si>
  <si>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</si>
  <si>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</si>
  <si>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</si>
  <si>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</si>
  <si>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</si>
  <si>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</si>
  <si>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</si>
  <si>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</si>
  <si>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</si>
  <si>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</si>
  <si>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</si>
  <si>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</si>
  <si>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</si>
  <si>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</si>
  <si>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</si>
  <si>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</si>
  <si>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</si>
  <si>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</si>
  <si>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</si>
  <si>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</si>
  <si>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</si>
  <si>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</si>
  <si>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</si>
  <si>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</si>
  <si>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</si>
  <si>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</si>
  <si>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</si>
  <si>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</si>
  <si>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</si>
  <si>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</si>
  <si>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</si>
  <si>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</si>
  <si>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</si>
  <si>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</si>
  <si>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</si>
  <si>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</si>
  <si>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</si>
  <si>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</si>
  <si>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</si>
  <si>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</si>
  <si>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</si>
  <si>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</si>
  <si>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</si>
  <si>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</si>
  <si>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</si>
  <si>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</si>
  <si>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</si>
  <si>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</si>
  <si>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</si>
  <si>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</si>
  <si>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</si>
  <si>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</si>
  <si>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</si>
  <si>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</si>
  <si>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</si>
  <si>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</si>
  <si>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</si>
  <si>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</si>
  <si>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</si>
  <si>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</si>
  <si>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</si>
  <si>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</si>
  <si>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</si>
  <si>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</si>
  <si>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</si>
  <si>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</si>
  <si>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</si>
  <si>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</si>
  <si>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</si>
  <si>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</si>
  <si>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</si>
  <si>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</si>
  <si>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</si>
  <si>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</si>
  <si>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</si>
  <si>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</si>
  <si>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</si>
  <si>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</si>
  <si>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</si>
  <si>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</si>
  <si>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</si>
  <si>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</si>
  <si>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</si>
  <si>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</si>
  <si>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</si>
  <si>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</si>
  <si>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</si>
  <si>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</si>
  <si>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</si>
  <si>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</si>
  <si>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</si>
  <si>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</si>
  <si>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</si>
  <si>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</si>
  <si>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</si>
  <si>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</si>
  <si>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</si>
  <si>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</si>
  <si>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</si>
  <si>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</si>
  <si>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</si>
  <si>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</si>
  <si>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</si>
  <si>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</si>
  <si>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</si>
  <si>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</si>
  <si>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</si>
  <si>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</si>
  <si>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</si>
  <si>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</si>
  <si>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</si>
  <si>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</si>
  <si>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</si>
  <si>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</si>
  <si>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</si>
  <si>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</si>
  <si>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</si>
  <si>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</si>
  <si>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</si>
  <si>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</si>
  <si>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</si>
  <si>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</si>
  <si>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</si>
  <si>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</si>
  <si>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</si>
  <si>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</si>
  <si>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</si>
  <si>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</si>
  <si>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</si>
  <si>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</si>
  <si>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</si>
  <si>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</si>
  <si>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</si>
  <si>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</si>
  <si>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</si>
  <si>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</si>
  <si>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</si>
  <si>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</si>
  <si>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</si>
  <si>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</si>
  <si>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</si>
  <si>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</si>
  <si>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</si>
  <si>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</si>
  <si>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</si>
  <si>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</si>
  <si>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</si>
  <si>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</si>
  <si>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</si>
  <si>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</si>
  <si>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</si>
  <si>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</si>
  <si>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</si>
  <si>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</si>
  <si>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</si>
  <si>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</si>
  <si>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</si>
  <si>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</si>
  <si>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</si>
  <si>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</si>
  <si>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</si>
  <si>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</si>
  <si>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</si>
  <si>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</si>
  <si>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</si>
  <si>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</si>
  <si>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</si>
  <si>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</si>
  <si>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</si>
  <si>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</si>
  <si>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</si>
  <si>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</si>
  <si>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</si>
  <si>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</si>
  <si>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</si>
  <si>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</si>
  <si>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</si>
  <si>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</si>
  <si>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</si>
  <si>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</si>
  <si>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</si>
  <si>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</si>
  <si>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</si>
  <si>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</si>
  <si>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</si>
  <si>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</si>
  <si>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</si>
  <si>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</si>
  <si>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</si>
  <si>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</si>
  <si>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</si>
  <si>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</si>
  <si>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</si>
  <si>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</si>
  <si>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</si>
  <si>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</si>
  <si>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</si>
  <si>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</si>
  <si>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</si>
  <si>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</si>
  <si>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</si>
  <si>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</si>
  <si>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</si>
  <si>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</si>
  <si>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</si>
  <si>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</si>
  <si>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</si>
  <si>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</si>
  <si>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</si>
  <si>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</si>
  <si>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</si>
  <si>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</si>
  <si>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</si>
  <si>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</si>
  <si>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</si>
  <si>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</si>
  <si>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</si>
  <si>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</si>
  <si>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</si>
  <si>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</si>
  <si>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</si>
  <si>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</si>
  <si>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</si>
  <si>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</si>
  <si>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</si>
  <si>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</si>
  <si>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</si>
  <si>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</si>
  <si>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</si>
  <si>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</si>
  <si>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</si>
  <si>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</si>
  <si>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</si>
  <si>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</si>
  <si>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</si>
  <si>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</si>
  <si>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</si>
  <si>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</si>
  <si>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</si>
  <si>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</si>
  <si>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</si>
  <si>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</si>
  <si>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</si>
  <si>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</si>
  <si>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</si>
  <si>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</si>
  <si>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</si>
  <si>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</si>
  <si>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</si>
  <si>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</si>
  <si>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</si>
  <si>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</si>
  <si>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</si>
  <si>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</si>
  <si>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</si>
  <si>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</si>
  <si>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</si>
  <si>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</si>
  <si>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</si>
  <si>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</si>
  <si>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</si>
  <si>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</si>
  <si>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</si>
  <si>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</si>
  <si>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</si>
  <si>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</si>
  <si>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</si>
  <si>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</si>
  <si>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</si>
  <si>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</si>
  <si>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</si>
  <si>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</si>
  <si>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</si>
  <si>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</si>
  <si>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</si>
  <si>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</si>
  <si>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</si>
  <si>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</si>
  <si>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</si>
  <si>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</si>
  <si>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</si>
  <si>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</si>
  <si>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</si>
  <si>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</si>
  <si>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</si>
  <si>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</si>
  <si>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</si>
  <si>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</si>
  <si>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</si>
  <si>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</si>
  <si>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</si>
  <si>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</si>
  <si>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</si>
  <si>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</si>
  <si>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</si>
  <si>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</si>
  <si>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</si>
  <si>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</si>
  <si>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</si>
  <si>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</si>
  <si>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</si>
  <si>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</si>
  <si>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</si>
  <si>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</si>
  <si>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</si>
  <si>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</si>
  <si>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</si>
  <si>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</si>
  <si>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</si>
  <si>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</si>
  <si>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</si>
  <si>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</si>
  <si>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</si>
  <si>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</si>
  <si>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</si>
  <si>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</si>
  <si>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</si>
  <si>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</si>
  <si>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</si>
  <si>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</si>
  <si>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</si>
  <si>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</si>
  <si>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</si>
  <si>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</si>
  <si>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</si>
  <si>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</si>
  <si>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</si>
  <si>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</si>
  <si>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</si>
  <si>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</si>
  <si>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</si>
  <si>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</si>
  <si>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</si>
  <si>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</si>
  <si>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</si>
  <si>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</si>
  <si>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</si>
  <si>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</si>
  <si>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</si>
  <si>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</si>
  <si>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</si>
  <si>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</si>
  <si>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</si>
  <si>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</si>
  <si>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</si>
  <si>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</si>
  <si>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</si>
  <si>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</si>
  <si>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</si>
  <si>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</si>
  <si>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</si>
  <si>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</si>
  <si>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</si>
  <si>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</si>
  <si>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</si>
  <si>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</si>
  <si>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</si>
  <si>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</si>
  <si>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</si>
  <si>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</si>
  <si>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</si>
  <si>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</si>
  <si>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</si>
  <si>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</si>
  <si>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</si>
  <si>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</si>
  <si>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</si>
  <si>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</si>
  <si>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</si>
  <si>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</si>
  <si>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</si>
  <si>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</si>
  <si>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</si>
  <si>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</si>
  <si>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</si>
  <si>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</si>
  <si>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</si>
  <si>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</si>
  <si>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</si>
  <si>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</si>
  <si>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</si>
  <si>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</si>
  <si>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</si>
  <si>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</si>
  <si>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</si>
  <si>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</si>
  <si>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</si>
  <si>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</si>
  <si>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</si>
  <si>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</si>
  <si>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</si>
  <si>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</si>
  <si>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</si>
  <si>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</si>
  <si>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</si>
  <si>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</si>
  <si>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</si>
  <si>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</si>
  <si>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</si>
  <si>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</si>
  <si>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</si>
  <si>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</si>
  <si>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</si>
  <si>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</si>
  <si>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</si>
  <si>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</si>
  <si>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</si>
  <si>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</si>
  <si>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</si>
  <si>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</si>
  <si>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</si>
  <si>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</si>
  <si>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</si>
  <si>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</si>
  <si>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</si>
  <si>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</si>
  <si>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</si>
  <si>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</si>
  <si>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</si>
  <si>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</si>
  <si>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</si>
  <si>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</si>
  <si>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</si>
  <si>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</si>
  <si>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</si>
  <si>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</si>
  <si>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</si>
  <si>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</si>
  <si>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</si>
  <si>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</si>
  <si>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</si>
  <si>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</si>
  <si>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</si>
  <si>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</si>
  <si>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</si>
  <si>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</si>
  <si>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</si>
  <si>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</si>
  <si>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</si>
  <si>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</si>
  <si>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</si>
  <si>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</si>
  <si>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</si>
  <si>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</si>
  <si>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</si>
  <si>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</si>
  <si>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</si>
  <si>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</si>
  <si>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</si>
  <si>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</si>
  <si>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</si>
  <si>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</si>
  <si>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</si>
  <si>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</si>
  <si>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</si>
  <si>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</si>
  <si>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</si>
  <si>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</si>
  <si>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</si>
  <si>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</si>
  <si>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</si>
  <si>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</si>
  <si>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</si>
  <si>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</si>
  <si>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</si>
  <si>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</si>
  <si>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</si>
  <si>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</si>
  <si>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</si>
  <si>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</si>
  <si>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</si>
  <si>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</si>
  <si>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</si>
  <si>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</si>
  <si>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</si>
  <si>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</si>
  <si>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</si>
  <si>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</si>
  <si>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</si>
  <si>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</si>
  <si>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</si>
  <si>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</si>
  <si>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</si>
  <si>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</si>
  <si>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</si>
  <si>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</si>
  <si>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</si>
  <si>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</si>
  <si>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</si>
  <si>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</si>
  <si>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</si>
  <si>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</si>
  <si>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</si>
  <si>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</si>
  <si>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</si>
  <si>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</si>
  <si>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</si>
  <si>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</si>
  <si>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</si>
  <si>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</si>
  <si>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</si>
  <si>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</si>
  <si>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</si>
  <si>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</si>
  <si>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</si>
  <si>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</si>
  <si>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</si>
  <si>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</si>
  <si>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</si>
  <si>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</si>
  <si>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</si>
  <si>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</si>
  <si>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</si>
  <si>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</si>
  <si>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</si>
  <si>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</si>
  <si>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</si>
  <si>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</si>
  <si>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</si>
  <si>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</si>
  <si>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</si>
  <si>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</si>
  <si>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</si>
  <si>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</si>
  <si>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</si>
  <si>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</si>
  <si>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</si>
  <si>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</si>
  <si>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</si>
  <si>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</si>
  <si>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</si>
  <si>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</si>
  <si>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</si>
  <si>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</si>
  <si>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</si>
  <si>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</si>
  <si>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</si>
  <si>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</si>
  <si>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</si>
  <si>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</si>
  <si>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</si>
  <si>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</si>
  <si>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</si>
  <si>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</si>
  <si>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</si>
  <si>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</si>
  <si>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</si>
  <si>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</si>
  <si>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</si>
  <si>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</si>
  <si>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</si>
  <si>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</si>
  <si>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</si>
  <si>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</si>
  <si>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</si>
  <si>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</si>
  <si>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</si>
  <si>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</si>
  <si>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</si>
  <si>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</si>
  <si>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</si>
  <si>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</si>
  <si>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</si>
  <si>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</si>
  <si>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</si>
  <si>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</si>
  <si>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</si>
  <si>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</si>
  <si>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</si>
  <si>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</si>
  <si>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</si>
  <si>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</si>
  <si>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</si>
  <si>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</si>
  <si>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</si>
  <si>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</si>
  <si>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</si>
  <si>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</si>
  <si>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</si>
  <si>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</si>
  <si>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</si>
  <si>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</si>
  <si>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</si>
  <si>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</si>
  <si>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</si>
  <si>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</si>
  <si>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</si>
  <si>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</si>
  <si>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</si>
  <si>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</si>
  <si>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</si>
  <si>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</si>
  <si>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</si>
  <si>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</si>
  <si>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</si>
  <si>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</si>
  <si>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</si>
  <si>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</si>
  <si>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</si>
  <si>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</si>
  <si>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</si>
  <si>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</si>
  <si>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</si>
  <si>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</si>
  <si>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</si>
  <si>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</si>
  <si>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</si>
  <si>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</si>
  <si>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</si>
  <si>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</si>
  <si>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</si>
  <si>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</si>
  <si>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</si>
  <si>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</si>
  <si>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</si>
  <si>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</si>
  <si>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</si>
  <si>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</si>
  <si>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</si>
  <si>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</si>
  <si>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</si>
  <si>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</si>
  <si>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</si>
  <si>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</si>
  <si>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</si>
  <si>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</si>
  <si>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</si>
  <si>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</si>
  <si>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</si>
  <si>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</si>
  <si>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</si>
  <si>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</si>
  <si>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</si>
  <si>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</si>
  <si>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</si>
  <si>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</si>
  <si>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</si>
  <si>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</si>
  <si>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</si>
  <si>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</si>
  <si>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</si>
  <si>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</si>
  <si>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</si>
  <si>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</si>
  <si>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</si>
  <si>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</si>
  <si>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</si>
  <si>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</si>
  <si>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</si>
  <si>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</si>
  <si>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</si>
  <si>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</si>
  <si>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</si>
  <si>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</si>
  <si>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</si>
  <si>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</si>
  <si>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</si>
  <si>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</si>
  <si>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</si>
  <si>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</si>
  <si>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</si>
  <si>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</si>
  <si>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</si>
  <si>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</si>
  <si>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</si>
  <si>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</si>
  <si>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</si>
  <si>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</si>
  <si>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</si>
  <si>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</si>
  <si>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</si>
  <si>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</si>
  <si>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</si>
  <si>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</si>
  <si>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</si>
  <si>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</si>
  <si>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</si>
  <si>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</si>
  <si>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</si>
  <si>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</si>
  <si>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</si>
  <si>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</si>
  <si>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</si>
  <si>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</si>
  <si>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</si>
  <si>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</si>
  <si>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</si>
  <si>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</si>
  <si>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</si>
  <si>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</si>
  <si>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</si>
  <si>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</si>
  <si>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</si>
  <si>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</si>
  <si>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</si>
  <si>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</si>
  <si>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</si>
  <si>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</si>
  <si>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</si>
  <si>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</si>
  <si>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</si>
  <si>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</si>
  <si>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</si>
  <si>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</si>
  <si>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</si>
  <si>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</si>
  <si>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</si>
  <si>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</si>
  <si>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</si>
  <si>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</si>
  <si>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</si>
  <si>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</si>
  <si>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</si>
  <si>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</si>
  <si>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</si>
  <si>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</si>
  <si>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</si>
  <si>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</si>
  <si>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</si>
  <si>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</si>
  <si>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</si>
  <si>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</si>
  <si>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</si>
  <si>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</si>
  <si>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</si>
  <si>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</si>
  <si>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</si>
  <si>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</si>
  <si>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</si>
  <si>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</si>
  <si>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</si>
  <si>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</si>
  <si>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</si>
  <si>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</si>
  <si>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</si>
  <si>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</si>
  <si>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</si>
  <si>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</si>
  <si>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</si>
  <si>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</si>
  <si>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</si>
  <si>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</si>
  <si>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</si>
  <si>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</si>
  <si>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</si>
  <si>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</si>
  <si>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</si>
  <si>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</si>
  <si>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</si>
  <si>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</si>
  <si>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</si>
  <si>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</si>
  <si>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</si>
  <si>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</si>
  <si>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</si>
  <si>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</si>
  <si>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</si>
  <si>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</si>
  <si>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</si>
  <si>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</si>
  <si>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</si>
  <si>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</si>
  <si>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</si>
  <si>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</si>
  <si>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</si>
  <si>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</si>
  <si>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</si>
  <si>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</si>
  <si>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</si>
  <si>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</si>
  <si>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</si>
  <si>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</si>
  <si>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</si>
  <si>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</si>
  <si>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</si>
  <si>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</si>
  <si>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</si>
  <si>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</si>
  <si>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</si>
  <si>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</si>
  <si>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</si>
  <si>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</si>
  <si>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</si>
  <si>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</si>
  <si>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</si>
  <si>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</si>
  <si>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</si>
  <si>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</si>
  <si>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</si>
  <si>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</si>
  <si>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</si>
  <si>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</si>
  <si>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</si>
  <si>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</si>
  <si>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</si>
  <si>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</si>
  <si>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</si>
  <si>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</si>
  <si>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</si>
  <si>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</si>
  <si>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</si>
  <si>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</si>
  <si>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</si>
  <si>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</si>
  <si>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</si>
  <si>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</si>
  <si>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</si>
  <si>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</si>
  <si>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</si>
  <si>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</si>
  <si>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</si>
  <si>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</si>
  <si>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</si>
  <si>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</si>
  <si>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</si>
  <si>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</si>
  <si>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</si>
  <si>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</si>
  <si>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</si>
  <si>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</si>
  <si>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</si>
  <si>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</si>
  <si>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</si>
  <si>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</si>
  <si>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</si>
  <si>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</si>
  <si>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</si>
  <si>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</si>
  <si>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</si>
  <si>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</si>
  <si>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</si>
  <si>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</si>
  <si>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</si>
  <si>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</si>
  <si>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</si>
  <si>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</si>
  <si>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</si>
  <si>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</si>
  <si>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</si>
  <si>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</si>
  <si>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</si>
  <si>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</si>
  <si>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</si>
  <si>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</si>
  <si>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</si>
  <si>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</si>
  <si>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</si>
  <si>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</si>
  <si>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</si>
  <si>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</si>
  <si>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</si>
  <si>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</si>
  <si>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</si>
  <si>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</si>
  <si>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</si>
  <si>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</si>
  <si>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</si>
  <si>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</si>
  <si>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</si>
  <si>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</si>
  <si>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</si>
  <si>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</si>
  <si>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</si>
  <si>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</si>
  <si>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</si>
  <si>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</si>
  <si>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</si>
  <si>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</si>
  <si>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</si>
  <si>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</si>
  <si>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</si>
  <si>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</si>
  <si>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</si>
  <si>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</si>
  <si>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</si>
  <si>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</si>
  <si>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</si>
  <si>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</si>
  <si>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</si>
  <si>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</si>
  <si>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</si>
  <si>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</si>
  <si>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</si>
  <si>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</si>
  <si>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</si>
  <si>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</si>
  <si>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</si>
  <si>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</si>
  <si>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</si>
  <si>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</si>
  <si>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</si>
  <si>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</si>
  <si>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</si>
  <si>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</si>
  <si>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</si>
  <si>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</si>
  <si>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</si>
  <si>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</si>
  <si>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</si>
  <si>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</si>
  <si>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</si>
  <si>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</si>
  <si>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</si>
  <si>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</si>
  <si>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</si>
  <si>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</si>
  <si>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</si>
  <si>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</si>
  <si>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</si>
  <si>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</si>
  <si>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</si>
  <si>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</si>
  <si>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</si>
  <si>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</si>
  <si>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</si>
  <si>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</si>
  <si>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</si>
  <si>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</si>
  <si>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</si>
  <si>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</si>
  <si>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</si>
  <si>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</si>
  <si>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</si>
  <si>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</si>
  <si>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</si>
  <si>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</si>
  <si>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</si>
  <si>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</si>
  <si>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</si>
  <si>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</si>
  <si>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</si>
  <si>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</si>
  <si>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</si>
  <si>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</si>
  <si>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</si>
  <si>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</si>
  <si>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</si>
  <si>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</si>
  <si>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</si>
  <si>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</si>
  <si>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</si>
  <si>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</si>
  <si>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</si>
  <si>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</si>
  <si>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</si>
  <si>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</si>
  <si>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</si>
  <si>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</si>
  <si>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</si>
  <si>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</si>
  <si>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</si>
  <si>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</si>
  <si>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</si>
  <si>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</si>
  <si>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</si>
  <si>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</si>
  <si>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</si>
  <si>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</si>
  <si>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</si>
  <si>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</si>
  <si>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</si>
  <si>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</si>
  <si>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</si>
  <si>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</si>
  <si>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</si>
  <si>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</si>
  <si>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</si>
  <si>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</si>
  <si>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</si>
  <si>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</si>
  <si>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</si>
  <si>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</si>
  <si>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</si>
  <si>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</si>
  <si>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</si>
  <si>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</si>
  <si>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</si>
  <si>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</si>
  <si>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</si>
  <si>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</si>
  <si>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</si>
  <si>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</si>
  <si>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</si>
  <si>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</si>
  <si>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</si>
  <si>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</si>
  <si>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</si>
  <si>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</si>
  <si>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</si>
  <si>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</si>
  <si>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</si>
  <si>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</si>
  <si>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</si>
  <si>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</si>
  <si>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</si>
  <si>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</si>
  <si>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</si>
  <si>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</si>
  <si>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</si>
  <si>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</si>
  <si>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</si>
  <si>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</si>
  <si>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</si>
  <si>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</si>
  <si>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</si>
  <si>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</si>
  <si>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</si>
  <si>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</si>
  <si>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</si>
  <si>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</si>
  <si>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</si>
  <si>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</si>
  <si>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</si>
  <si>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</si>
  <si>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</si>
  <si>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</si>
  <si>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</si>
  <si>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</si>
  <si>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</si>
  <si>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</si>
  <si>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</si>
  <si>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</si>
  <si>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</si>
  <si>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</si>
  <si>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</si>
  <si>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</si>
  <si>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</si>
  <si>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</si>
  <si>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</si>
  <si>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</si>
  <si>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</si>
  <si>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</si>
  <si>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</si>
  <si>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</si>
  <si>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</si>
  <si>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</si>
  <si>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</si>
  <si>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</si>
  <si>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</si>
  <si>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</si>
  <si>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</si>
  <si>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</si>
  <si>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</si>
  <si>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</si>
  <si>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</si>
  <si>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</si>
  <si>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</si>
  <si>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</si>
  <si>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</si>
  <si>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</si>
  <si>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</si>
  <si>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</si>
  <si>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</si>
  <si>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</si>
  <si>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</si>
  <si>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</si>
  <si>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</si>
  <si>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</si>
  <si>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</si>
  <si>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</si>
  <si>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</si>
  <si>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</si>
  <si>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</si>
  <si>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</si>
  <si>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</si>
  <si>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</si>
  <si>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</si>
  <si>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</si>
  <si>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</si>
  <si>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</si>
  <si>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</si>
  <si>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</si>
  <si>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</si>
  <si>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</si>
  <si>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</si>
  <si>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</si>
  <si>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</si>
  <si>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</si>
  <si>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</si>
  <si>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</si>
  <si>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</si>
  <si>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</si>
  <si>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</si>
  <si>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</si>
  <si>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</si>
  <si>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</si>
  <si>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</si>
  <si>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</si>
  <si>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</si>
  <si>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</si>
  <si>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</si>
  <si>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</si>
  <si>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</si>
  <si>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</si>
  <si>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</si>
  <si>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</si>
  <si>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</si>
  <si>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</si>
  <si>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</si>
  <si>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</si>
  <si>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</si>
  <si>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</si>
  <si>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</si>
  <si>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</si>
  <si>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</si>
  <si>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</si>
  <si>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</si>
  <si>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</si>
  <si>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</si>
  <si>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</si>
  <si>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</si>
  <si>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</si>
  <si>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</si>
  <si>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</si>
  <si>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</si>
  <si>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</si>
  <si>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</si>
  <si>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</si>
  <si>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</si>
  <si>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</si>
  <si>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</si>
  <si>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</si>
  <si>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</si>
  <si>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</si>
  <si>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</si>
  <si>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</si>
  <si>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</si>
  <si>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</si>
  <si>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</si>
  <si>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</si>
  <si>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</si>
  <si>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</si>
  <si>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</si>
  <si>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</si>
  <si>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</si>
  <si>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</si>
  <si>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</si>
  <si>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</si>
  <si>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</si>
  <si>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</si>
  <si>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</si>
  <si>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</si>
  <si>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</si>
  <si>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</si>
  <si>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</si>
  <si>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</si>
  <si>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</si>
  <si>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</si>
  <si>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</si>
  <si>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</si>
  <si>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</si>
  <si>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</si>
  <si>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</si>
  <si>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</si>
  <si>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</si>
  <si>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</si>
  <si>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</si>
  <si>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</si>
  <si>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</si>
  <si>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</si>
  <si>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</si>
  <si>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</si>
  <si>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</si>
  <si>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</si>
  <si>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</si>
  <si>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</si>
  <si>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</si>
  <si>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</si>
  <si>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</si>
  <si>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</si>
  <si>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</si>
  <si>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</si>
  <si>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</si>
  <si>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</si>
  <si>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</si>
  <si>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</si>
  <si>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</si>
  <si>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</si>
  <si>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</si>
  <si>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</si>
  <si>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</si>
  <si>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</si>
  <si>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</si>
  <si>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</si>
  <si>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</si>
  <si>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</si>
  <si>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</si>
  <si>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</si>
  <si>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</si>
  <si>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</si>
  <si>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</si>
  <si>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</si>
  <si>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</si>
  <si>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</si>
  <si>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</si>
  <si>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</si>
  <si>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</si>
  <si>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</si>
  <si>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</si>
  <si>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</si>
  <si>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</si>
  <si>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</si>
  <si>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</si>
  <si>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</si>
  <si>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</si>
  <si>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</si>
  <si>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</si>
  <si>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</si>
  <si>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</si>
  <si>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</si>
  <si>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</si>
  <si>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</si>
  <si>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</si>
  <si>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</si>
  <si>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</si>
  <si>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</si>
  <si>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</si>
  <si>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</si>
  <si>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</si>
  <si>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</si>
  <si>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</si>
  <si>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</si>
  <si>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</si>
  <si>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</si>
  <si>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</si>
  <si>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</si>
  <si>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</si>
  <si>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</si>
  <si>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</si>
  <si>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</si>
  <si>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</si>
  <si>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</si>
  <si>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</si>
  <si>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</si>
  <si>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</si>
  <si>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</si>
  <si>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</si>
  <si>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</si>
  <si>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</si>
  <si>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</si>
  <si>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</si>
  <si>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</si>
  <si>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</si>
  <si>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</si>
  <si>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</si>
  <si>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</si>
  <si>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</si>
  <si>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</si>
  <si>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</si>
  <si>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</si>
  <si>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</si>
  <si>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</si>
  <si>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</si>
  <si>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</si>
  <si>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</si>
  <si>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</si>
  <si>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</si>
  <si>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</si>
  <si>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</si>
  <si>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</si>
  <si>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</si>
  <si>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</si>
  <si>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</si>
  <si>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</si>
  <si>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</si>
  <si>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</si>
  <si>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</si>
  <si>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</si>
  <si>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</si>
  <si>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</si>
  <si>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</si>
  <si>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</si>
  <si>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</si>
  <si>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</si>
  <si>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</si>
  <si>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</si>
  <si>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</si>
  <si>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</si>
  <si>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</si>
  <si>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</si>
  <si>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</si>
  <si>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</si>
  <si>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</si>
  <si>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</si>
  <si>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</si>
  <si>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</si>
  <si>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</si>
  <si>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</si>
  <si>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</si>
  <si>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</si>
  <si>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</si>
  <si>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</si>
  <si>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</si>
  <si>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</si>
  <si>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</si>
  <si>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</si>
  <si>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</si>
  <si>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</si>
  <si>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</si>
  <si>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</si>
  <si>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</si>
  <si>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</si>
  <si>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</si>
  <si>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</si>
  <si>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</si>
  <si>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</si>
  <si>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</si>
  <si>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</si>
  <si>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</si>
  <si>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</si>
  <si>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</si>
  <si>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</si>
  <si>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</si>
  <si>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</si>
  <si>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</si>
  <si>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</si>
  <si>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</si>
  <si>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</si>
  <si>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</si>
  <si>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</si>
  <si>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</si>
  <si>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</si>
  <si>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</si>
  <si>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</si>
  <si>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</si>
  <si>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</si>
  <si>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</si>
  <si>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</si>
  <si>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</si>
  <si>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</si>
  <si>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</si>
  <si>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</si>
  <si>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</si>
  <si>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</si>
  <si>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</si>
  <si>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</si>
  <si>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</si>
  <si>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</si>
  <si>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</si>
  <si>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</si>
  <si>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</si>
  <si>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</si>
  <si>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</si>
  <si>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</si>
  <si>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</si>
  <si>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</si>
  <si>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</si>
  <si>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</si>
  <si>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</si>
  <si>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</si>
  <si>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</si>
  <si>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</si>
  <si>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</si>
  <si>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</si>
  <si>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</si>
  <si>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</si>
  <si>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</si>
  <si>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</si>
  <si>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</si>
  <si>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</si>
  <si>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</si>
  <si>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</si>
  <si>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</si>
  <si>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</si>
  <si>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</si>
  <si>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</si>
  <si>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</si>
  <si>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</si>
  <si>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</si>
  <si>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</si>
  <si>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</si>
  <si>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</si>
  <si>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</si>
  <si>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</si>
  <si>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</si>
  <si>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</si>
  <si>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</si>
  <si>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</si>
  <si>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</si>
  <si>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</si>
  <si>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</si>
  <si>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</si>
  <si>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</si>
  <si>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</si>
  <si>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</si>
  <si>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</si>
  <si>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</si>
  <si>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</si>
  <si>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</si>
  <si>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</si>
  <si>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</si>
  <si>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</si>
  <si>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</si>
  <si>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</si>
  <si>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</si>
  <si>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</si>
  <si>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</si>
  <si>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</si>
  <si>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</si>
  <si>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</si>
  <si>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</si>
  <si>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</si>
  <si>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</si>
  <si>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</si>
  <si>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</si>
  <si>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</si>
  <si>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</si>
  <si>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</si>
  <si>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</si>
  <si>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</si>
  <si>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</si>
  <si>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</si>
  <si>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</si>
  <si>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</si>
  <si>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</si>
  <si>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</si>
  <si>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</si>
  <si>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</si>
  <si>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</si>
  <si>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</si>
  <si>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</si>
  <si>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</si>
  <si>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</si>
  <si>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</si>
  <si>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</si>
  <si>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</si>
  <si>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</si>
  <si>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</si>
  <si>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</si>
  <si>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</si>
  <si>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</si>
  <si>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</si>
  <si>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</si>
  <si>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</si>
  <si>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</si>
  <si>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</si>
  <si>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</si>
  <si>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</si>
  <si>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</si>
  <si>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</si>
  <si>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</si>
  <si>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</si>
  <si>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</si>
  <si>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</si>
  <si>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</si>
  <si>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</si>
  <si>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</si>
  <si>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</si>
  <si>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</si>
  <si>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</si>
  <si>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</si>
  <si>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</si>
  <si>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</si>
  <si>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</si>
  <si>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</si>
  <si>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</si>
  <si>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</si>
  <si>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</si>
  <si>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</si>
  <si>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</si>
  <si>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</si>
  <si>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</si>
  <si>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</si>
  <si>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</si>
  <si>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</si>
  <si>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</si>
  <si>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</si>
  <si>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</si>
  <si>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</si>
  <si>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</si>
  <si>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</si>
  <si>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</si>
  <si>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</si>
  <si>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</si>
  <si>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</si>
  <si>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</si>
  <si>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</si>
  <si>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</si>
  <si>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</si>
  <si>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</si>
  <si>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</si>
  <si>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</si>
  <si>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</si>
  <si>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</si>
  <si>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</si>
  <si>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</si>
  <si>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</si>
  <si>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</si>
  <si>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</si>
  <si>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</si>
  <si>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</si>
  <si>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</si>
  <si>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</si>
  <si>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</si>
  <si>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</si>
  <si>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</si>
  <si>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</si>
  <si>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</si>
  <si>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</si>
  <si>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</si>
  <si>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</si>
  <si>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</si>
  <si>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</si>
  <si>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</si>
  <si>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</si>
  <si>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</si>
  <si>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</si>
  <si>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</si>
  <si>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</si>
  <si>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</si>
  <si>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</si>
  <si>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</si>
  <si>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</si>
  <si>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</si>
  <si>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</si>
  <si>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</si>
  <si>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</si>
  <si>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</si>
  <si>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</si>
  <si>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</si>
  <si>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</si>
  <si>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</si>
  <si>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</si>
  <si>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</si>
  <si>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</si>
  <si>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</si>
  <si>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</si>
  <si>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</si>
  <si>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</si>
  <si>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</si>
  <si>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</si>
  <si>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</si>
  <si>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</si>
  <si>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</si>
  <si>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</si>
  <si>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</si>
  <si>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</si>
  <si>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</si>
  <si>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</si>
  <si>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</si>
  <si>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</si>
  <si>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</si>
  <si>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</si>
  <si>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</si>
  <si>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</si>
  <si>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</si>
  <si>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</si>
  <si>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</si>
  <si>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</si>
  <si>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</si>
  <si>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</si>
  <si>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</si>
  <si>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</si>
  <si>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</si>
  <si>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</si>
  <si>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</si>
  <si>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</si>
  <si>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</si>
  <si>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</si>
  <si>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</si>
  <si>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</si>
  <si>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</si>
  <si>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</si>
  <si>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</si>
  <si>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</si>
  <si>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</si>
  <si>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</si>
  <si>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</si>
  <si>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</si>
  <si>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</si>
  <si>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</si>
  <si>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</si>
  <si>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</si>
  <si>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</si>
  <si>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</si>
  <si>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</si>
  <si>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</si>
  <si>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</si>
  <si>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</si>
  <si>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</si>
  <si>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</si>
  <si>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</si>
  <si>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</si>
  <si>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</si>
  <si>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</si>
  <si>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</si>
  <si>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</si>
  <si>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</si>
  <si>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</si>
  <si>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</si>
  <si>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</si>
  <si>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</si>
  <si>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</si>
  <si>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</si>
  <si>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</si>
  <si>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</si>
  <si>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</si>
  <si>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</si>
  <si>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</si>
  <si>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</si>
  <si>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</si>
  <si>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</si>
  <si>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</si>
  <si>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</si>
  <si>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</si>
  <si>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</si>
  <si>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</si>
  <si>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</si>
  <si>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</si>
  <si>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</si>
  <si>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</si>
  <si>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</si>
  <si>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</si>
  <si>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</si>
  <si>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</si>
  <si>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</si>
  <si>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</si>
  <si>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</si>
  <si>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</si>
  <si>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</si>
  <si>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</si>
  <si>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</si>
  <si>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</si>
  <si>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</si>
  <si>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</si>
  <si>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</si>
  <si>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</si>
  <si>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</si>
  <si>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</si>
  <si>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</si>
  <si>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</si>
  <si>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</si>
  <si>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</si>
  <si>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</si>
  <si>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</si>
  <si>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</si>
  <si>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</si>
  <si>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</si>
  <si>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</si>
  <si>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</si>
  <si>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</si>
  <si>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</si>
  <si>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</si>
  <si>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</si>
  <si>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</si>
  <si>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</si>
  <si>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</si>
  <si>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</si>
  <si>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</si>
  <si>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</si>
  <si>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</si>
  <si>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</si>
  <si>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</si>
  <si>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</si>
  <si>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</si>
  <si>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</si>
  <si>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</si>
  <si>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</si>
  <si>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</si>
  <si>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</si>
  <si>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</si>
  <si>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</si>
  <si>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</si>
  <si>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</si>
  <si>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</si>
  <si>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</si>
  <si>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</si>
  <si>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</si>
  <si>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</si>
  <si>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</si>
  <si>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</si>
  <si>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</si>
  <si>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</si>
  <si>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</si>
  <si>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</si>
  <si>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</si>
  <si>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</si>
  <si>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</si>
  <si>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</si>
  <si>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</si>
  <si>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</si>
  <si>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</si>
  <si>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</si>
  <si>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</si>
  <si>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</si>
  <si>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</si>
  <si>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</si>
  <si>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</si>
  <si>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</si>
  <si>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</si>
  <si>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</si>
  <si>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</si>
  <si>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</si>
  <si>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</si>
  <si>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</si>
  <si>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</si>
  <si>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</si>
  <si>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</si>
  <si>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</si>
  <si>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</si>
  <si>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</si>
  <si>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</si>
  <si>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</si>
  <si>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</si>
  <si>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</si>
  <si>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</si>
  <si>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</si>
  <si>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</si>
  <si>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</si>
  <si>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</si>
  <si>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</si>
  <si>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</si>
  <si>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</si>
  <si>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</si>
  <si>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</si>
  <si>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</si>
  <si>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</si>
  <si>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</si>
  <si>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</si>
  <si>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</si>
  <si>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</si>
  <si>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</si>
  <si>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</si>
  <si>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</si>
  <si>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</si>
  <si>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</si>
  <si>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</si>
  <si>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</si>
  <si>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</si>
  <si>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</si>
  <si>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</si>
  <si>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</si>
  <si>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</si>
  <si>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</si>
  <si>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</si>
  <si>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</si>
  <si>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</si>
  <si>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</si>
  <si>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</si>
  <si>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</si>
  <si>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</si>
  <si>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</si>
  <si>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</si>
  <si>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</si>
  <si>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</si>
  <si>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</si>
  <si>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</si>
  <si>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</si>
  <si>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</si>
  <si>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</si>
  <si>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</si>
  <si>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</si>
  <si>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</si>
  <si>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</si>
  <si>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</si>
  <si>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</si>
  <si>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</si>
  <si>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</si>
  <si>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</si>
  <si>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</si>
  <si>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</si>
  <si>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</si>
  <si>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</si>
  <si>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</si>
  <si>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</si>
  <si>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</si>
  <si>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</si>
  <si>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</si>
  <si>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</si>
  <si>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</si>
  <si>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</si>
  <si>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</si>
  <si>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</si>
  <si>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</si>
  <si>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</si>
  <si>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</si>
  <si>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</si>
  <si>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</si>
  <si>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</si>
  <si>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</si>
  <si>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</si>
  <si>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</si>
  <si>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</si>
  <si>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</si>
  <si>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</si>
  <si>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</si>
  <si>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</si>
  <si>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</si>
  <si>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</si>
  <si>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</si>
  <si>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</si>
  <si>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</si>
  <si>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</si>
  <si>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</si>
  <si>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</si>
  <si>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</si>
  <si>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</si>
  <si>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</si>
  <si>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</si>
  <si>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</si>
  <si>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</si>
  <si>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</si>
  <si>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</si>
  <si>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</si>
  <si>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</si>
  <si>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</si>
  <si>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</si>
  <si>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</si>
  <si>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</si>
  <si>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</si>
  <si>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</si>
  <si>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</si>
  <si>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</si>
  <si>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</si>
  <si>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</si>
  <si>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</si>
  <si>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</si>
  <si>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</si>
  <si>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</si>
  <si>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</si>
  <si>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</si>
  <si>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</si>
  <si>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</si>
  <si>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</si>
  <si>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</si>
  <si>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</si>
  <si>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</si>
  <si>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</si>
  <si>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</si>
  <si>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</si>
  <si>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</si>
  <si>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</si>
  <si>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</si>
  <si>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</si>
  <si>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</si>
  <si>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</si>
  <si>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</si>
  <si>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</si>
  <si>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</si>
  <si>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</si>
  <si>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</si>
  <si>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</si>
  <si>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</si>
  <si>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</si>
  <si>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</si>
  <si>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</si>
  <si>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</si>
  <si>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</si>
  <si>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</si>
  <si>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</si>
  <si>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</si>
  <si>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</si>
  <si>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</si>
  <si>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</si>
  <si>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</si>
  <si>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</si>
  <si>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</si>
  <si>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</si>
  <si>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</si>
  <si>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</si>
  <si>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</si>
  <si>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</si>
  <si>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</si>
  <si>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</si>
  <si>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</si>
  <si>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</si>
  <si>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</si>
  <si>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</si>
  <si>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</si>
  <si>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</si>
  <si>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</si>
  <si>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</si>
  <si>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</si>
  <si>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</si>
  <si>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</si>
  <si>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</si>
  <si>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</si>
  <si>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</si>
  <si>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</si>
  <si>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</si>
  <si>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</si>
  <si>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</si>
  <si>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</si>
  <si>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</si>
  <si>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</si>
  <si>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</si>
  <si>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</si>
  <si>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</si>
  <si>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</si>
  <si>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</si>
  <si>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</si>
  <si>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</si>
  <si>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</si>
  <si>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</si>
  <si>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</si>
  <si>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</si>
  <si>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</si>
  <si>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</si>
  <si>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</si>
  <si>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</si>
  <si>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</si>
  <si>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</si>
  <si>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</si>
  <si>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</si>
  <si>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</si>
  <si>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</si>
  <si>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</si>
  <si>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</si>
  <si>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</si>
  <si>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</si>
  <si>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</si>
  <si>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</si>
  <si>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</si>
  <si>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</si>
  <si>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</si>
  <si>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</si>
  <si>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</si>
  <si>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</si>
  <si>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</si>
  <si>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</si>
  <si>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</si>
  <si>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</si>
  <si>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</si>
  <si>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</si>
  <si>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</si>
  <si>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</si>
  <si>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</si>
  <si>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</si>
  <si>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</si>
  <si>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</si>
  <si>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</si>
  <si>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</si>
  <si>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</si>
  <si>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</si>
  <si>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</si>
  <si>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</si>
  <si>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</si>
  <si>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</si>
  <si>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</si>
  <si>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</si>
  <si>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</si>
  <si>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</si>
  <si>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</si>
  <si>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</si>
  <si>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</si>
  <si>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</si>
  <si>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</si>
  <si>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</si>
  <si>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</si>
  <si>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</si>
  <si>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</si>
  <si>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</si>
  <si>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</si>
  <si>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</si>
  <si>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</si>
  <si>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</si>
  <si>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</si>
  <si>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</si>
  <si>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</si>
  <si>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</si>
  <si>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</si>
  <si>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</si>
  <si>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</si>
  <si>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</si>
  <si>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</si>
  <si>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</si>
  <si>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</si>
  <si>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</si>
  <si>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</si>
  <si>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</si>
  <si>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</si>
  <si>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</si>
  <si>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</si>
  <si>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</si>
  <si>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</si>
  <si>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</si>
  <si>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</si>
  <si>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</si>
  <si>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</si>
  <si>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</si>
  <si>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</si>
  <si>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</si>
  <si>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</si>
  <si>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</si>
  <si>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</si>
  <si>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</si>
  <si>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</si>
  <si>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</si>
  <si>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</si>
  <si>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</si>
  <si>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</si>
  <si>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</si>
  <si>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</si>
  <si>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</si>
  <si>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</si>
  <si>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</si>
  <si>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</si>
  <si>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</si>
  <si>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</si>
  <si>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</si>
  <si>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</si>
  <si>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</si>
  <si>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</si>
  <si>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</si>
  <si>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</si>
  <si>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</si>
  <si>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</si>
  <si>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</si>
  <si>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</si>
  <si>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</si>
  <si>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</si>
  <si>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</si>
  <si>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</si>
  <si>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</si>
  <si>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</si>
  <si>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</si>
  <si>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</si>
  <si>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</si>
  <si>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</si>
  <si>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</si>
  <si>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</si>
  <si>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</si>
  <si>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</si>
  <si>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</si>
  <si>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</si>
  <si>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</si>
  <si>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</si>
  <si>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</si>
  <si>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</si>
  <si>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</si>
  <si>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</si>
  <si>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</si>
  <si>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</si>
  <si>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</si>
  <si>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</si>
  <si>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</si>
  <si>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</si>
  <si>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</si>
  <si>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</si>
  <si>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</si>
  <si>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</si>
  <si>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</si>
  <si>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</si>
  <si>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</si>
  <si>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r>
      <rPr>
        <sz val="10"/>
        <color theme="9" tint="-0.249977111117893"/>
        <rFont val="宋体"/>
        <family val="3"/>
        <charset val="134"/>
      </rPr>
      <t>朝阳区百子湾家园</t>
    </r>
    <r>
      <rPr>
        <sz val="10"/>
        <color theme="9" tint="-0.249977111117893"/>
        <rFont val="Arial"/>
        <family val="2"/>
      </rPr>
      <t>312</t>
    </r>
    <r>
      <rPr>
        <sz val="10"/>
        <color theme="9" tint="-0.249977111117893"/>
        <rFont val="宋体"/>
        <family val="3"/>
        <charset val="134"/>
      </rPr>
      <t>号楼</t>
    </r>
    <phoneticPr fontId="6" type="noConversion"/>
  </si>
  <si>
    <t>是</t>
  </si>
  <si>
    <t>地上</t>
  </si>
  <si>
    <t>独立商业</t>
  </si>
  <si>
    <t>商业</t>
    <phoneticPr fontId="7" type="noConversion"/>
  </si>
  <si>
    <t>单套模式</t>
  </si>
  <si>
    <t>租金</t>
  </si>
  <si>
    <t>百子湾家园312号楼</t>
    <phoneticPr fontId="3" type="noConversion"/>
  </si>
  <si>
    <t>沿海赛洛城</t>
    <phoneticPr fontId="3" type="noConversion"/>
  </si>
  <si>
    <t>国粹苑</t>
    <phoneticPr fontId="3" type="noConversion"/>
  </si>
  <si>
    <t>正常</t>
  </si>
  <si>
    <t>报价</t>
  </si>
  <si>
    <t>报价</t>
    <phoneticPr fontId="30" type="noConversion"/>
  </si>
  <si>
    <t>商业</t>
    <phoneticPr fontId="30" type="noConversion"/>
  </si>
  <si>
    <t>多面临街</t>
    <phoneticPr fontId="30" type="noConversion"/>
  </si>
  <si>
    <t>双面临街</t>
    <phoneticPr fontId="30" type="noConversion"/>
  </si>
  <si>
    <t>单面临街</t>
    <phoneticPr fontId="30" type="noConversion"/>
  </si>
  <si>
    <t>不临街</t>
  </si>
  <si>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</si>
  <si>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</si>
  <si>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</si>
  <si>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</si>
  <si>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</si>
  <si>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</si>
  <si>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</si>
  <si>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</si>
  <si>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</si>
  <si>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</si>
  <si>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</si>
  <si>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</si>
  <si>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</si>
  <si>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</si>
  <si>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</si>
  <si>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独立商业</t>
    <phoneticPr fontId="30" type="noConversion"/>
  </si>
  <si>
    <t>住宅配套</t>
    <phoneticPr fontId="30" type="noConversion"/>
  </si>
  <si>
    <t>写字楼配套</t>
    <phoneticPr fontId="30" type="noConversion"/>
  </si>
  <si>
    <t>可餐饮</t>
    <phoneticPr fontId="30" type="noConversion"/>
  </si>
  <si>
    <t>不可餐饮</t>
    <phoneticPr fontId="30" type="noConversion"/>
  </si>
  <si>
    <t>标准</t>
    <phoneticPr fontId="30" type="noConversion"/>
  </si>
  <si>
    <t>精装</t>
  </si>
  <si>
    <t>精装</t>
    <phoneticPr fontId="30" type="noConversion"/>
  </si>
  <si>
    <t>普装</t>
  </si>
  <si>
    <t>普装</t>
    <phoneticPr fontId="30" type="noConversion"/>
  </si>
  <si>
    <t>简装</t>
    <phoneticPr fontId="30" type="noConversion"/>
  </si>
  <si>
    <t>毛坯</t>
    <phoneticPr fontId="30" type="noConversion"/>
  </si>
  <si>
    <t>1-3层</t>
  </si>
  <si>
    <t>1-2层</t>
  </si>
  <si>
    <t>现状使用</t>
    <phoneticPr fontId="30" type="noConversion"/>
  </si>
  <si>
    <t>办公</t>
    <phoneticPr fontId="30" type="noConversion"/>
  </si>
  <si>
    <t>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</si>
</sst>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北京市朝阳区百子湾家园312号楼房地产抵押价值预评估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受贵公司委托，我公司对北京市朝阳区百子湾家园312号楼房地产抵押价值进行了预评估。</v>
      </c>
    </row>
    <row r="7" spans="1:2" s="1203" customFormat="1">
      <c r="A7" s="1201" t="s">
        <v>566</v>
      </c>
      <c r="B7" s="1202" t="str">
        <f>'预评函-1'!A7</f>
        <v>估价对象为北京市朝阳区百子湾家园312号楼房地产，为所有。根据《国有土地使用证》[]，估价对象（分摊）出让国有建设用地使用权面积为0平方米，建筑面积为698.68平方米。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估价对象为北京市朝阳区百子湾家园312号楼房地产,属开发建设的，该项目尚在开发建设中。根据《国有土地使用证》[]，估价对象（分摊）出让国有建设用地使用权面积为0平方米，规划建筑面积为698.68平方米。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百子湾家园312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2023年5月29日</v>
      </c>
    </row>
    <row r="13" spans="1:2" s="1203" customFormat="1">
      <c r="A13" s="1201" t="s">
        <v>529</v>
      </c>
      <c r="B13" s="1202" t="str">
        <f>'预评函-1'!A18</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北京市朝阳区百子湾家园312号楼房地产</v>
      </c>
    </row>
    <row r="42" spans="1:2" s="1203" customFormat="1">
      <c r="A42" s="1201" t="s">
        <v>590</v>
      </c>
      <c r="B42" s="1202" t="str">
        <f>'预评函-3'!B2</f>
        <v>建筑面积</v>
      </c>
    </row>
    <row r="43" spans="1:2" s="1203" customFormat="1">
      <c r="A43" s="1201" t="s">
        <v>591</v>
      </c>
      <c r="B43" s="1202">
        <f>'预评函-3'!B4</f>
        <v>698.68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百子湾家园312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C65" sqref="C6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45075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3.56</v>
      </c>
      <c r="D5" s="3025">
        <f>IF(ISERROR(ROUND(POWER(1+E5,A5-C5)*(POWER(1+E5,C5)-1)/(POWER(1+E5,A5)-1),3)),0,ROUND(POWER(1+E5,A5-C5)*(POWER(1+E5,C5)-1)/(POWER(1+E5,A5)-1),4))</f>
        <v>0.1646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53" sqref="H5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北京市朝阳区百子湾家园312号楼房地产抵押价值预评估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北京市朝阳区百子湾家园312号楼房地产抵押价值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北京市朝阳区百子湾家园312号楼房地产</v>
      </c>
      <c r="T2" s="1745"/>
      <c r="U2" s="1745"/>
      <c r="V2" s="1745"/>
      <c r="W2" s="1745"/>
      <c r="X2" s="1745"/>
      <c r="Y2" s="1745"/>
      <c r="Z2" s="1745"/>
      <c r="AA2" s="1745"/>
      <c r="AB2" s="1745"/>
    </row>
    <row r="3" spans="1:30">
      <c r="A3" s="302" t="s">
        <v>2170</v>
      </c>
      <c r="B3" s="2373"/>
      <c r="C3" s="2374" t="s">
        <v>2171</v>
      </c>
      <c r="D3" s="2373">
        <v>45075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3"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4"/>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3383</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698.68</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698.68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698.68</v>
      </c>
      <c r="H5" s="13">
        <f t="shared" ref="H5:AT5" si="0">SUM(H13:H656)</f>
        <v>698.68</v>
      </c>
      <c r="I5" s="13">
        <f t="shared" si="0"/>
        <v>698.68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698.68</v>
      </c>
      <c r="BA5" s="15">
        <f t="shared" si="1"/>
        <v>698.68</v>
      </c>
      <c r="BB5" s="15">
        <f t="shared" si="1"/>
        <v>698.68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698.68</v>
      </c>
      <c r="H13" s="17">
        <f>SUMIF(I$12:AB$12,"总值",I13:AB13)</f>
        <v>698.68</v>
      </c>
      <c r="I13" s="1626">
        <v>698.68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698.68</v>
      </c>
      <c r="BA13" s="13">
        <f>SUM(BB13:BK13)</f>
        <v>698.68</v>
      </c>
      <c r="BB13" s="13">
        <f>IF($D13="是",I13-J13,0)</f>
        <v>698.68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698.68</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698.68</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698.68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698.68</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698.68</v>
      </c>
      <c r="F19" s="2795">
        <v>698.68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698.68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698.68</v>
      </c>
      <c r="F27" s="1140">
        <f>IF(SUM(F19:F26)=E8,SUM(F19:F26),"地上面积有误")</f>
        <v>698.68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698.68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698.68</v>
      </c>
      <c r="F31" s="677">
        <f>F27+F30</f>
        <v>698.68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698.68</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698.68</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北京市朝阳区百子湾家园312号楼房地产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c r="D4" s="1756"/>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c r="D14" s="3576"/>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63" t="s">
        <v>2131</v>
      </c>
      <c r="F18" s="3564"/>
      <c r="G18" s="3564"/>
      <c r="H18" s="3564"/>
      <c r="I18" s="3564"/>
      <c r="K18" s="302" t="s">
        <v>1289</v>
      </c>
      <c r="L18" s="302">
        <f>IF(C1="",'数据-汇总表'!E3,SUMIF(项目类型,C1,'数据-汇总表'!E17:E26)+SUMIF(项目类型,C1,'数据-汇总表'!I17:I26))</f>
        <v>698.68</v>
      </c>
      <c r="M18" s="302">
        <f>IF(C1="",'数据-汇总表'!E3,SUMIF(项目类型,C1,'数据-汇总表'!E17:E26))</f>
        <v>698.68</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45075</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t="str">
        <f ca="1">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0</v>
      </c>
      <c r="G52" s="2555"/>
      <c r="H52" s="2544"/>
      <c r="I52" s="1807"/>
      <c r="J52" s="2523">
        <v>1</v>
      </c>
      <c r="K52" s="3604" t="s">
        <v>1355</v>
      </c>
      <c r="L52" s="3604"/>
      <c r="M52" s="2525" t="b">
        <f>D48</f>
        <v>0</v>
      </c>
      <c r="N52" s="2523" t="str">
        <f>E48</f>
        <v>销售额×税（费）率</v>
      </c>
      <c r="O52" s="2526">
        <f>F48</f>
        <v>0</v>
      </c>
    </row>
    <row r="53" spans="1:35" ht="12" customHeight="1">
      <c r="A53" s="2335" t="s">
        <v>1356</v>
      </c>
      <c r="B53" s="3565" t="s">
        <v>2291</v>
      </c>
      <c r="C53" s="3566"/>
      <c r="D53" s="1087" t="e">
        <f ca="1">ROUND(D45*'数据-取费表'!B41/(1+'数据-取费表'!C42),0)</f>
        <v>#REF!</v>
      </c>
      <c r="E53" s="2334" t="s">
        <v>1354</v>
      </c>
      <c r="F53" s="2554">
        <f>'数据-取费表'!B41</f>
        <v>0</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0</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0</v>
      </c>
      <c r="J55" s="2523">
        <f>IF(H59="非个人房产","",4)</f>
        <v>4</v>
      </c>
      <c r="K55" s="3604" t="str">
        <f>IF(H59="非个人房产","——","个人所得税")</f>
        <v>个人所得税</v>
      </c>
      <c r="L55" s="3604"/>
      <c r="M55" s="2528" t="e">
        <f ca="1">D59</f>
        <v>#REF!</v>
      </c>
      <c r="N55" s="2040" t="str">
        <f>E59</f>
        <v>差额计税</v>
      </c>
      <c r="O55" s="2529">
        <f>F59</f>
        <v>0.01</v>
      </c>
    </row>
    <row r="56" spans="1:35" ht="24.75">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2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f>C4</f>
        <v>0</v>
      </c>
      <c r="D101" s="2586">
        <f>D4</f>
        <v>0</v>
      </c>
      <c r="E101" s="3626" t="s">
        <v>1431</v>
      </c>
      <c r="F101" s="3583"/>
      <c r="G101" s="1827" t="s">
        <v>1432</v>
      </c>
      <c r="H101" s="2595" t="e">
        <f ca="1">H118</f>
        <v>#REF!</v>
      </c>
      <c r="I101" s="129"/>
    </row>
    <row r="102" spans="1:35" ht="18.75" customHeight="1">
      <c r="A102" s="3585" t="s">
        <v>1433</v>
      </c>
      <c r="B102" s="2584" t="s">
        <v>1432</v>
      </c>
      <c r="C102" s="2585" t="e">
        <f ca="1">IF(D32="楼面单价",ROUND(C19,0),C19)</f>
        <v>#REF!</v>
      </c>
      <c r="D102" s="2586" t="e">
        <f ca="1">IF(D32="楼面单价",ROUND(D19,0),D19)</f>
        <v>#REF!</v>
      </c>
      <c r="E102" s="3626"/>
      <c r="F102" s="3583"/>
      <c r="G102" s="1827" t="s">
        <v>1434</v>
      </c>
      <c r="H102" s="2555" t="e">
        <f ca="1">I118</f>
        <v>#REF!</v>
      </c>
      <c r="I102" s="129"/>
    </row>
    <row r="103" spans="1:35" ht="42.75" customHeight="1">
      <c r="A103" s="3585"/>
      <c r="B103" s="2584" t="s">
        <v>1434</v>
      </c>
      <c r="C103" s="2587" t="e">
        <f ca="1">C20</f>
        <v>#REF!</v>
      </c>
      <c r="D103" s="2588" t="e">
        <f ca="1">D20</f>
        <v>#REF!</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北京市朝阳区百子湾家园312号楼房地产</v>
      </c>
      <c r="B118" s="2329">
        <f>M18</f>
        <v>698.68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698.68</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698.68</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698.68</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3" t="s">
        <v>1544</v>
      </c>
    </row>
    <row r="43" spans="1:7" ht="13.5" customHeight="1">
      <c r="A43" s="780" t="s">
        <v>347</v>
      </c>
      <c r="B43" s="215" t="s">
        <v>1545</v>
      </c>
      <c r="C43" s="238" t="e">
        <f ca="1">ROUND(IF('数据-取费表'!B22&lt;=1,C39*F22*'数据-取费表'!B21/2,C39*(POWER((1+F22),'数据-取费表'!B21/2)-1)),0)</f>
        <v>#VALUE!</v>
      </c>
      <c r="D43" s="238"/>
      <c r="E43" s="238"/>
      <c r="F43" s="239"/>
      <c r="G43" s="3634"/>
    </row>
    <row r="44" spans="1:7" ht="13.5" customHeight="1">
      <c r="A44" s="780" t="s">
        <v>348</v>
      </c>
      <c r="B44" s="215" t="s">
        <v>1546</v>
      </c>
      <c r="C44" s="238" t="e">
        <f ca="1">ROUND(IF('数据-取费表'!B22&lt;=1,C40*F22*'数据-取费表'!B21/2,C40*(POWER((1+F22),'数据-取费表'!B21/2)-1)),4)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北京市朝阳区百子湾家园312号楼房地产抵押价值预评估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698.68</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698.68</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698.68</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3" t="s">
        <v>1591</v>
      </c>
    </row>
    <row r="43" spans="1:7" ht="13.5" customHeight="1">
      <c r="A43" s="780" t="s">
        <v>347</v>
      </c>
      <c r="B43" s="215" t="s">
        <v>1545</v>
      </c>
      <c r="C43" s="238" t="e">
        <f ca="1">ROUND(IF('数据-取费表'!B22&lt;=1,C39*F22*'数据-取费表'!B20/2,C39*(POWER((1+F22),'数据-取费表'!B20/2)-1)),0)</f>
        <v>#VALUE!</v>
      </c>
      <c r="D43" s="238"/>
      <c r="E43" s="238"/>
      <c r="F43" s="239"/>
      <c r="G43" s="3634"/>
    </row>
    <row r="44" spans="1:7" ht="13.5" customHeight="1">
      <c r="A44" s="780" t="s">
        <v>348</v>
      </c>
      <c r="B44" s="215" t="s">
        <v>1546</v>
      </c>
      <c r="C44" s="238" t="e">
        <f ca="1">ROUND(IF('数据-取费表'!B22&lt;=1,C40*F22*'数据-取费表'!B20/2,C40*(POWER((1+F22),'数据-取费表'!B20/2)-1)),4)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698.68</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698.68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698.68</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#VALUE!</v>
      </c>
      <c r="D45" s="3432" t="s">
        <v>3359</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698.68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60" zoomScaleNormal="70" workbookViewId="0">
      <selection activeCell="O42" sqref="O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3388</v>
      </c>
      <c r="F1" s="1879" t="s">
        <v>3389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0.3493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v>
      </c>
      <c r="C3" s="354" t="s">
        <v>1768</v>
      </c>
      <c r="D3" s="353">
        <f>IF(D1="",'数据-汇总表'!E3,SUMIF('数据-汇总表'!$C19:$C33,D1,'数据-汇总表'!$E19:$E33))</f>
        <v>698.68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789" t="s">
        <v>3390</v>
      </c>
      <c r="D5" s="3700"/>
      <c r="E5" s="3790" t="s">
        <v>3391</v>
      </c>
      <c r="F5" s="3707"/>
      <c r="G5" s="3789" t="s">
        <v>3392</v>
      </c>
      <c r="H5" s="3700"/>
      <c r="I5" s="3789" t="s">
        <v>3391</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45075</v>
      </c>
      <c r="D7" s="365">
        <v>100</v>
      </c>
      <c r="E7" s="366">
        <v>45047</v>
      </c>
      <c r="F7" s="367">
        <f>SUMIF(58:58,YEAR(E7)&amp;"-"&amp;MONTH(E7),59:59)</f>
        <v>100</v>
      </c>
      <c r="G7" s="366">
        <v>45047</v>
      </c>
      <c r="H7" s="365">
        <f>SUMIF(58:58,YEAR(G7)&amp;"-"&amp;MONTH(G7),59:59)</f>
        <v>100</v>
      </c>
      <c r="I7" s="366">
        <v>45047</v>
      </c>
      <c r="J7" s="365">
        <f>SUMIF(58:58,YEAR(I7)&amp;"-"&amp;MONTH(I7),59:59)</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t="s">
        <v>3393</v>
      </c>
      <c r="D8" s="365">
        <v>100</v>
      </c>
      <c r="E8" s="368" t="s">
        <v>3394</v>
      </c>
      <c r="F8" s="367">
        <f>SUMIF(61:61,E8,62:62)-SUMIF(61:61,C8,62:62)+100</f>
        <v>105</v>
      </c>
      <c r="G8" s="368" t="s">
        <v>3394</v>
      </c>
      <c r="H8" s="365">
        <f>SUMIF(61:61,G8,62:62)-SUMIF(61:61,C8,62:62)+100</f>
        <v>105</v>
      </c>
      <c r="I8" s="368" t="s">
        <v>3394</v>
      </c>
      <c r="J8" s="365">
        <f>SUMIF(61:61,I8,62:62)-SUMIF(61:61,C8,62:62)+100</f>
        <v>105</v>
      </c>
      <c r="K8" s="560"/>
      <c r="L8" s="2717"/>
      <c r="M8" s="2718"/>
      <c r="N8" s="2718"/>
      <c r="O8" s="2718"/>
      <c r="P8" s="3701" t="s">
        <v>1683</v>
      </c>
      <c r="Q8" s="3702"/>
      <c r="R8" s="701" t="s">
        <v>14</v>
      </c>
      <c r="S8" s="702">
        <f t="shared" si="0"/>
        <v>105</v>
      </c>
      <c r="T8" s="701" t="s">
        <v>14</v>
      </c>
      <c r="U8" s="702">
        <f t="shared" si="1"/>
        <v>105</v>
      </c>
      <c r="V8" s="701" t="s">
        <v>14</v>
      </c>
      <c r="W8" s="702">
        <f t="shared" si="2"/>
        <v>105</v>
      </c>
      <c r="X8" s="703"/>
      <c r="Y8" s="3701" t="s">
        <v>1683</v>
      </c>
      <c r="Z8" s="3702"/>
      <c r="AA8" s="704">
        <f t="shared" ref="AA8:AA46" si="3">D8/F8</f>
        <v>0.95238095238095233</v>
      </c>
      <c r="AB8" s="704">
        <f t="shared" ref="AB8:AB46" si="4">D8/H8</f>
        <v>0.95238095238095233</v>
      </c>
      <c r="AC8" s="704">
        <f t="shared" ref="AC8:AC46" si="5">D8/J8</f>
        <v>0.95238095238095233</v>
      </c>
    </row>
    <row r="9" spans="1:29" s="108" customFormat="1" ht="15">
      <c r="A9" s="369" t="s">
        <v>1684</v>
      </c>
      <c r="B9" s="63" t="s">
        <v>1685</v>
      </c>
      <c r="C9" s="3792"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3798" t="s">
        <v>3430</v>
      </c>
      <c r="C12" s="3799" t="s">
        <v>3431</v>
      </c>
      <c r="D12" s="384">
        <v>100</v>
      </c>
      <c r="E12" s="3797" t="s">
        <v>3432</v>
      </c>
      <c r="F12" s="376">
        <f>SUMIF(70:70,E12,71:71)-SUMIF(70:70,C12,71:71)+100</f>
        <v>105</v>
      </c>
      <c r="G12" s="3797" t="s">
        <v>3432</v>
      </c>
      <c r="H12" s="127">
        <f>SUMIF(70:70,G12,71:71)-SUMIF(70:70,C12,71:71)+100</f>
        <v>105</v>
      </c>
      <c r="I12" s="3797" t="s">
        <v>3432</v>
      </c>
      <c r="J12" s="127">
        <f>SUMIF(70:70,I12,71:71)-SUMIF(70:70,C12,71:71)+100</f>
        <v>105</v>
      </c>
      <c r="K12" s="562"/>
      <c r="L12" s="2717"/>
      <c r="M12" s="2718"/>
      <c r="N12" s="2718"/>
      <c r="O12" s="2718"/>
      <c r="P12" s="3676"/>
      <c r="Q12" s="1343" t="str">
        <f t="shared" si="6"/>
        <v>现状使用</v>
      </c>
      <c r="R12" s="701" t="s">
        <v>14</v>
      </c>
      <c r="S12" s="702">
        <f t="shared" si="0"/>
        <v>105</v>
      </c>
      <c r="T12" s="701" t="s">
        <v>14</v>
      </c>
      <c r="U12" s="702">
        <f t="shared" si="1"/>
        <v>105</v>
      </c>
      <c r="V12" s="701" t="s">
        <v>14</v>
      </c>
      <c r="W12" s="702">
        <f t="shared" si="2"/>
        <v>105</v>
      </c>
      <c r="X12" s="703"/>
      <c r="Y12" s="3540"/>
      <c r="Z12" s="52" t="str">
        <f t="shared" si="7"/>
        <v>现状使用</v>
      </c>
      <c r="AA12" s="704">
        <f>D12/F12</f>
        <v>0.95238095238095233</v>
      </c>
      <c r="AB12" s="704">
        <f>D12/H12</f>
        <v>0.95238095238095233</v>
      </c>
      <c r="AC12" s="704">
        <f>D12/J12</f>
        <v>0.95238095238095233</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22"/>
      <c r="M15" s="2716"/>
      <c r="N15" s="2716"/>
      <c r="O15" s="2716"/>
      <c r="P15" s="3674" t="s">
        <v>1691</v>
      </c>
      <c r="Q15" s="1352" t="str">
        <f t="shared" si="6"/>
        <v>商业繁华度</v>
      </c>
      <c r="R15" s="705" t="s">
        <v>14</v>
      </c>
      <c r="S15" s="706">
        <f t="shared" si="0"/>
        <v>105</v>
      </c>
      <c r="T15" s="705" t="s">
        <v>14</v>
      </c>
      <c r="U15" s="706">
        <f t="shared" si="1"/>
        <v>105</v>
      </c>
      <c r="V15" s="705" t="s">
        <v>14</v>
      </c>
      <c r="W15" s="706">
        <f t="shared" si="2"/>
        <v>105</v>
      </c>
      <c r="X15" s="1355"/>
      <c r="Y15" s="3667" t="s">
        <v>1691</v>
      </c>
      <c r="Z15" s="1356" t="str">
        <f t="shared" si="7"/>
        <v>商业繁华度</v>
      </c>
      <c r="AA15" s="1353">
        <f t="shared" si="3"/>
        <v>0.95238095238095233</v>
      </c>
      <c r="AB15" s="1353">
        <f t="shared" si="4"/>
        <v>0.95238095238095233</v>
      </c>
      <c r="AC15" s="1353">
        <f t="shared" si="5"/>
        <v>0.95238095238095233</v>
      </c>
    </row>
    <row r="16" spans="1:29" ht="15">
      <c r="A16" s="379"/>
      <c r="B16" s="397"/>
      <c r="C16" s="398" t="s">
        <v>3404</v>
      </c>
      <c r="D16" s="399"/>
      <c r="E16" s="398" t="s">
        <v>3403</v>
      </c>
      <c r="F16" s="400"/>
      <c r="G16" s="398" t="s">
        <v>3403</v>
      </c>
      <c r="H16" s="401"/>
      <c r="I16" s="398" t="s">
        <v>3403</v>
      </c>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t="s">
        <v>3400</v>
      </c>
      <c r="D25" s="386">
        <v>100</v>
      </c>
      <c r="E25" s="565" t="s">
        <v>3400</v>
      </c>
      <c r="F25" s="412">
        <f>SUMIF(86:86,E25,87:87)-SUMIF(86:86,C25,87:87)+100</f>
        <v>100</v>
      </c>
      <c r="G25" s="565" t="s">
        <v>3400</v>
      </c>
      <c r="H25" s="386">
        <f>SUMIF(86:86,G25,87:87)-SUMIF(86:86,C25,87:87)+100</f>
        <v>100</v>
      </c>
      <c r="I25" s="565" t="s">
        <v>3400</v>
      </c>
      <c r="J25" s="386">
        <f>SUMIF(86:86,I25,87:87)-SUMIF(86:86,C25,87:87)+100</f>
        <v>100</v>
      </c>
      <c r="K25" s="561">
        <v>3</v>
      </c>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797" t="s">
        <v>3409</v>
      </c>
      <c r="D26" s="386">
        <v>100</v>
      </c>
      <c r="E26" s="3797" t="s">
        <v>3409</v>
      </c>
      <c r="F26" s="412">
        <f>SUMIF(88:88,E26,89:89)-SUMIF(88:88,C26,89:89)+100</f>
        <v>100</v>
      </c>
      <c r="G26" s="3797" t="s">
        <v>3409</v>
      </c>
      <c r="H26" s="386">
        <f>SUMIF(88:88,G26,89:89)-SUMIF(88:88,C26,89:89)+100</f>
        <v>100</v>
      </c>
      <c r="I26" s="3797" t="s">
        <v>3409</v>
      </c>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t="s">
        <v>3410</v>
      </c>
      <c r="D27" s="413">
        <v>100</v>
      </c>
      <c r="E27" s="1956" t="s">
        <v>3404</v>
      </c>
      <c r="F27" s="415">
        <f>SUMIF(90:90,E27,91:91)-SUMIF(90:90,C27,91:91)+100</f>
        <v>105</v>
      </c>
      <c r="G27" s="1956" t="s">
        <v>3404</v>
      </c>
      <c r="H27" s="413">
        <f>SUMIF(90:90,G27,91:91)-SUMIF(90:90,C27,91:91)+100</f>
        <v>105</v>
      </c>
      <c r="I27" s="1956" t="s">
        <v>3404</v>
      </c>
      <c r="J27" s="413">
        <f>SUMIF(90:90,I27,91:91)-SUMIF(90:90,C27,91:91)+100</f>
        <v>105</v>
      </c>
      <c r="K27" s="561">
        <v>5</v>
      </c>
      <c r="L27" s="2717"/>
      <c r="M27" s="2718"/>
      <c r="N27" s="2718"/>
      <c r="O27" s="2718"/>
      <c r="P27" s="3675"/>
      <c r="Q27" s="1343" t="str">
        <f t="shared" si="11"/>
        <v>人流量</v>
      </c>
      <c r="R27" s="701" t="s">
        <v>14</v>
      </c>
      <c r="S27" s="702">
        <f>F27</f>
        <v>105</v>
      </c>
      <c r="T27" s="701" t="s">
        <v>14</v>
      </c>
      <c r="U27" s="702">
        <f>H27</f>
        <v>105</v>
      </c>
      <c r="V27" s="701" t="s">
        <v>14</v>
      </c>
      <c r="W27" s="702">
        <f>J27</f>
        <v>105</v>
      </c>
      <c r="X27" s="703"/>
      <c r="Y27" s="3668"/>
      <c r="Z27" s="52" t="str">
        <f>Q27</f>
        <v>人流量</v>
      </c>
      <c r="AA27" s="1353">
        <f>D27/F27</f>
        <v>0.95238095238095233</v>
      </c>
      <c r="AB27" s="1353">
        <f>D27/H27</f>
        <v>0.95238095238095233</v>
      </c>
      <c r="AC27" s="1353">
        <f>D27/J27</f>
        <v>0.95238095238095233</v>
      </c>
    </row>
    <row r="28" spans="1:29" ht="15">
      <c r="A28" s="379"/>
      <c r="B28" s="375" t="s">
        <v>1783</v>
      </c>
      <c r="C28" s="565" t="s">
        <v>3428</v>
      </c>
      <c r="D28" s="386">
        <v>100</v>
      </c>
      <c r="E28" s="565" t="s">
        <v>3429</v>
      </c>
      <c r="F28" s="412">
        <f>SUMIF(92:92,E28,93:93)-SUMIF(92:92,C28,93:93)+100</f>
        <v>110</v>
      </c>
      <c r="G28" s="565" t="s">
        <v>3429</v>
      </c>
      <c r="H28" s="386">
        <f>SUMIF(92:92,G28,93:93)-SUMIF(92:92,C28,93:93)+100</f>
        <v>110</v>
      </c>
      <c r="I28" s="565" t="s">
        <v>3429</v>
      </c>
      <c r="J28" s="386">
        <f>SUMIF(92:92,I28,93:93)-SUMIF(92:92,C28,93:93)+100</f>
        <v>110</v>
      </c>
      <c r="K28" s="562"/>
      <c r="L28" s="2722"/>
      <c r="M28" s="2716"/>
      <c r="N28" s="2716"/>
      <c r="O28" s="2716"/>
      <c r="P28" s="3675"/>
      <c r="Q28" s="1352" t="str">
        <f t="shared" si="11"/>
        <v>楼层</v>
      </c>
      <c r="R28" s="705" t="s">
        <v>14</v>
      </c>
      <c r="S28" s="706">
        <f t="shared" ref="S28:S46" si="12">F28</f>
        <v>110</v>
      </c>
      <c r="T28" s="705" t="s">
        <v>14</v>
      </c>
      <c r="U28" s="706">
        <f t="shared" ref="U28:U46" si="13">H28</f>
        <v>110</v>
      </c>
      <c r="V28" s="705" t="s">
        <v>14</v>
      </c>
      <c r="W28" s="706">
        <f t="shared" ref="W28:W46" si="14">J28</f>
        <v>110</v>
      </c>
      <c r="X28" s="1355"/>
      <c r="Y28" s="3668"/>
      <c r="Z28" s="1356" t="str">
        <f t="shared" ref="Z28:Z46" si="15">Q28</f>
        <v>楼层</v>
      </c>
      <c r="AA28" s="1353">
        <f t="shared" si="3"/>
        <v>0.90909090909090906</v>
      </c>
      <c r="AB28" s="1353">
        <f t="shared" si="4"/>
        <v>0.90909090909090906</v>
      </c>
      <c r="AC28" s="1353">
        <f t="shared" si="5"/>
        <v>0.90909090909090906</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f>D3</f>
        <v>698.68</v>
      </c>
      <c r="D33" s="127">
        <v>100</v>
      </c>
      <c r="E33" s="381">
        <v>248</v>
      </c>
      <c r="F33" s="376">
        <f>LOOKUP(E33,103:103,104:104)-LOOKUP(C33,103:103,104:104)+100</f>
        <v>101</v>
      </c>
      <c r="G33" s="380">
        <v>1918</v>
      </c>
      <c r="H33" s="127">
        <f>LOOKUP(G33,103:103,104:104)-LOOKUP(C33,103:103,104:104)+100</f>
        <v>98</v>
      </c>
      <c r="I33" s="380">
        <v>750</v>
      </c>
      <c r="J33" s="127">
        <f>LOOKUP(I33,103:103,104:104)-LOOKUP(C33,103:103,104:104)+100</f>
        <v>100</v>
      </c>
      <c r="K33" s="562"/>
      <c r="L33" s="2721"/>
      <c r="M33" s="2723"/>
      <c r="N33" s="2723"/>
      <c r="O33" s="2723"/>
      <c r="P33" s="3670"/>
      <c r="Q33" s="707" t="str">
        <f t="shared" si="11"/>
        <v>项目建筑规模</v>
      </c>
      <c r="R33" s="708" t="s">
        <v>14</v>
      </c>
      <c r="S33" s="709">
        <f t="shared" si="12"/>
        <v>101</v>
      </c>
      <c r="T33" s="708" t="s">
        <v>14</v>
      </c>
      <c r="U33" s="709">
        <f t="shared" si="13"/>
        <v>98</v>
      </c>
      <c r="V33" s="708" t="s">
        <v>14</v>
      </c>
      <c r="W33" s="709">
        <f t="shared" si="14"/>
        <v>100</v>
      </c>
      <c r="X33" s="710"/>
      <c r="Y33" s="3672"/>
      <c r="Z33" s="711" t="str">
        <f t="shared" si="15"/>
        <v>项目建筑规模</v>
      </c>
      <c r="AA33" s="1353">
        <f t="shared" si="3"/>
        <v>0.99009900990099009</v>
      </c>
      <c r="AB33" s="1353">
        <f t="shared" si="4"/>
        <v>1.0204081632653061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v>0.72</v>
      </c>
      <c r="D36" s="386">
        <v>100</v>
      </c>
      <c r="E36" s="425">
        <v>0.72</v>
      </c>
      <c r="F36" s="412">
        <f>LOOKUP(E36,110:110,111:111)-LOOKUP(C36,110:110,111:111)+100</f>
        <v>100</v>
      </c>
      <c r="G36" s="425">
        <v>0.8</v>
      </c>
      <c r="H36" s="412">
        <f>LOOKUP(G36,110:110,111:111)-LOOKUP(C36,110:110,111:111)+100</f>
        <v>102</v>
      </c>
      <c r="I36" s="425">
        <v>0.72</v>
      </c>
      <c r="J36" s="386">
        <f>LOOKUP(I36,110:110,111:111)-LOOKUP(C36,110:110,111:111)+100</f>
        <v>100</v>
      </c>
      <c r="K36" s="561">
        <v>2</v>
      </c>
      <c r="L36" s="2722"/>
      <c r="M36" s="2716"/>
      <c r="N36" s="2716"/>
      <c r="O36" s="2716"/>
      <c r="P36" s="3670"/>
      <c r="Q36" s="1352" t="str">
        <f t="shared" si="11"/>
        <v>成新度</v>
      </c>
      <c r="R36" s="705" t="s">
        <v>14</v>
      </c>
      <c r="S36" s="706">
        <f t="shared" si="12"/>
        <v>100</v>
      </c>
      <c r="T36" s="705" t="s">
        <v>14</v>
      </c>
      <c r="U36" s="706">
        <f t="shared" si="13"/>
        <v>102</v>
      </c>
      <c r="V36" s="705" t="s">
        <v>14</v>
      </c>
      <c r="W36" s="706">
        <f t="shared" si="14"/>
        <v>100</v>
      </c>
      <c r="X36" s="1355"/>
      <c r="Y36" s="3672"/>
      <c r="Z36" s="1356" t="str">
        <f t="shared" si="15"/>
        <v>成新度</v>
      </c>
      <c r="AA36" s="1353">
        <f t="shared" si="3"/>
        <v>1</v>
      </c>
      <c r="AB36" s="1353">
        <f t="shared" si="4"/>
        <v>0.98039215686274506</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t="s">
        <v>3424</v>
      </c>
      <c r="D42" s="386">
        <v>100</v>
      </c>
      <c r="E42" s="1906" t="s">
        <v>3424</v>
      </c>
      <c r="F42" s="412">
        <f>SUMIF(122:122,E42,123:123)-SUMIF(122:122,C42,123:123)+100</f>
        <v>100</v>
      </c>
      <c r="G42" s="1906" t="s">
        <v>3422</v>
      </c>
      <c r="H42" s="386">
        <f>SUMIF(122:122,G42,123:123)-SUMIF(122:122,C42,123:123)+100</f>
        <v>102</v>
      </c>
      <c r="I42" s="1906" t="s">
        <v>3424</v>
      </c>
      <c r="J42" s="386">
        <f>SUMIF(122:122,I42,123:123)-SUMIF(122:122,C42,123:123)+100</f>
        <v>100</v>
      </c>
      <c r="K42" s="561">
        <v>2</v>
      </c>
      <c r="L42" s="2722"/>
      <c r="M42" s="2716"/>
      <c r="N42" s="2716"/>
      <c r="O42" s="2716"/>
      <c r="P42" s="3670"/>
      <c r="Q42" s="1352" t="str">
        <f t="shared" si="11"/>
        <v>内部装修</v>
      </c>
      <c r="R42" s="705" t="s">
        <v>14</v>
      </c>
      <c r="S42" s="706">
        <f t="shared" si="12"/>
        <v>100</v>
      </c>
      <c r="T42" s="705" t="s">
        <v>14</v>
      </c>
      <c r="U42" s="706">
        <f t="shared" si="13"/>
        <v>102</v>
      </c>
      <c r="V42" s="705" t="s">
        <v>14</v>
      </c>
      <c r="W42" s="706">
        <f t="shared" si="14"/>
        <v>100</v>
      </c>
      <c r="X42" s="1355"/>
      <c r="Y42" s="3672"/>
      <c r="Z42" s="1356" t="str">
        <f t="shared" si="15"/>
        <v>内部装修</v>
      </c>
      <c r="AA42" s="1353">
        <f t="shared" si="3"/>
        <v>1</v>
      </c>
      <c r="AB42" s="1353">
        <f t="shared" si="4"/>
        <v>0.98039215686274506</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v>6.72</v>
      </c>
      <c r="F47" s="1157"/>
      <c r="G47" s="1158">
        <v>6.5</v>
      </c>
      <c r="H47" s="1159"/>
      <c r="I47" s="1156">
        <v>7</v>
      </c>
      <c r="J47" s="1159"/>
      <c r="K47" s="714"/>
      <c r="L47" s="2724"/>
      <c r="M47" s="2725"/>
      <c r="N47" s="2716"/>
      <c r="O47" s="2725"/>
      <c r="P47" s="3665" t="str">
        <f>A47</f>
        <v>成交单价（元/平方米）</v>
      </c>
      <c r="Q47" s="3665"/>
      <c r="R47" s="3696">
        <f>E47</f>
        <v>6.72</v>
      </c>
      <c r="S47" s="3696"/>
      <c r="T47" s="3696">
        <f>G47</f>
        <v>6.5</v>
      </c>
      <c r="U47" s="3696"/>
      <c r="V47" s="3696">
        <f>I47</f>
        <v>7</v>
      </c>
      <c r="W47" s="3696"/>
      <c r="X47" s="690"/>
      <c r="Y47" s="712"/>
      <c r="Z47" s="690"/>
      <c r="AA47" s="690"/>
      <c r="AB47" s="690"/>
      <c r="AC47" s="690"/>
    </row>
    <row r="48" spans="1:29" ht="15.75" thickBot="1">
      <c r="A48" s="437" t="s">
        <v>1793</v>
      </c>
      <c r="B48" s="438"/>
      <c r="C48" s="1160">
        <f>R49</f>
        <v>5</v>
      </c>
      <c r="D48" s="2317" t="s">
        <v>2138</v>
      </c>
      <c r="E48" s="1161">
        <f>R48</f>
        <v>5</v>
      </c>
      <c r="F48" s="2318"/>
      <c r="G48" s="1160">
        <f>T48</f>
        <v>4.8</v>
      </c>
      <c r="H48" s="2318"/>
      <c r="I48" s="1161">
        <f>V48</f>
        <v>5.2</v>
      </c>
      <c r="J48" s="2318"/>
      <c r="K48" s="2320">
        <f>F48+H48+J48</f>
        <v>0</v>
      </c>
      <c r="L48" s="2724"/>
      <c r="M48" s="2725"/>
      <c r="N48" s="2716"/>
      <c r="O48" s="2725"/>
      <c r="P48" s="3665" t="str">
        <f>A48</f>
        <v>比较价值（元/平方米）</v>
      </c>
      <c r="Q48" s="3665"/>
      <c r="R48" s="3666">
        <f>IF(F1="售价",ROUND(PRODUCT(R47,AA7:AA46),0),ROUND(PRODUCT(R47,AA7:AA46),1))</f>
        <v>5</v>
      </c>
      <c r="S48" s="3666"/>
      <c r="T48" s="3666">
        <f>IF(F1="售价",ROUND(PRODUCT(T47,AB7:AB46),0),ROUND(PRODUCT(T47,AB7:AB46),1))</f>
        <v>4.8</v>
      </c>
      <c r="U48" s="3666"/>
      <c r="V48" s="3666">
        <f>IF(F1="售价",ROUND(PRODUCT(V47,AC7:AC46),0),ROUND(PRODUCT(V47,AC7:AC46),1))</f>
        <v>5.2</v>
      </c>
      <c r="W48" s="3666"/>
      <c r="X48" s="690"/>
      <c r="Y48" s="690"/>
      <c r="Z48" s="690"/>
      <c r="AA48" s="690"/>
      <c r="AB48" s="690"/>
      <c r="AC48" s="690"/>
    </row>
    <row r="49" spans="1:29" ht="15.75" thickBot="1">
      <c r="A49" s="441" t="s">
        <v>1794</v>
      </c>
      <c r="B49" s="442"/>
      <c r="C49" s="1163">
        <f>R49</f>
        <v>5</v>
      </c>
      <c r="D49" s="1163"/>
      <c r="E49" s="1163"/>
      <c r="F49" s="1163"/>
      <c r="G49" s="1163"/>
      <c r="H49" s="1163"/>
      <c r="I49" s="1163"/>
      <c r="J49" s="1163"/>
      <c r="K49" s="715"/>
      <c r="L49" s="2724"/>
      <c r="M49" s="2725"/>
      <c r="N49" s="2716"/>
      <c r="O49" s="2725"/>
      <c r="P49" s="3662" t="str">
        <f>A49</f>
        <v>估价对象XX用房的比较价值（楼面单价，元/平方米）</v>
      </c>
      <c r="Q49" s="3663"/>
      <c r="R49" s="3664">
        <f>IF(F1="售价",ROUND(IF(D48="简单平均",AVERAGE(R48:V48),R48*F48+T48*H48+V48*J48),0),ROUND(IF(D48="简单平均",AVERAGE(R48:V48),R48*F48+T48*H48+V48*J48),1))</f>
        <v>5</v>
      </c>
      <c r="S49" s="3664"/>
      <c r="T49" s="3664"/>
      <c r="U49" s="3664"/>
      <c r="V49" s="3664"/>
      <c r="W49" s="3664"/>
      <c r="X49" s="690"/>
      <c r="Y49" s="690"/>
      <c r="Z49" s="690"/>
      <c r="AA49" s="690"/>
      <c r="AB49" s="690"/>
      <c r="AC49" s="690"/>
    </row>
    <row r="50" spans="1:29">
      <c r="A50" s="2725"/>
      <c r="B50" s="2725"/>
      <c r="C50" s="2725">
        <v>2006</v>
      </c>
      <c r="D50" s="2725"/>
      <c r="E50" s="2725">
        <v>2005</v>
      </c>
      <c r="F50" s="2725"/>
      <c r="G50" s="3796">
        <v>2010</v>
      </c>
      <c r="H50" s="2725"/>
      <c r="I50" s="2725">
        <v>2005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0.34399999999999986</v>
      </c>
      <c r="F52" s="449" t="str">
        <f>IF(OR(E52&gt;=0.3,E52&lt;=-0.3),"超过30%","")</f>
        <v>超过30%</v>
      </c>
      <c r="G52" s="448">
        <f>IF(G47&lt;G48,G48/G47-1,G47/G48-1)</f>
        <v>0.35416666666666674</v>
      </c>
      <c r="H52" s="449" t="str">
        <f>IF(OR(G52&gt;=0.3,G52&lt;=-0.3),"超过30%","")</f>
        <v>超过30%</v>
      </c>
      <c r="I52" s="448">
        <f>IF(I47&lt;I48,I48/I47-1,I47/I48-1)</f>
        <v>0.34615384615384603</v>
      </c>
      <c r="J52" s="449" t="str">
        <f>IF(OR(I52&gt;=0.3,I52&lt;=-0.3),"超过30%","")</f>
        <v>超过30%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4.1666666666666741E-2</v>
      </c>
      <c r="F53" s="449" t="str">
        <f>IF(OR(E53&gt;=0.2,E53&lt;=-0.2),"超过20%","")</f>
        <v/>
      </c>
      <c r="G53" s="448">
        <f>IF(G48&lt;I48,I48/G48-1,G48/I48-1)</f>
        <v>8.3333333333333481E-2</v>
      </c>
      <c r="H53" s="449" t="str">
        <f>IF(OR(G53&gt;=0.2,G53&lt;=-0.2),"超过20%","")</f>
        <v/>
      </c>
      <c r="I53" s="448">
        <f>IF(I48&lt;E48,E48/I48-1,I48/E48-1)</f>
        <v>4.0000000000000036E-2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3.3846153846153859E-2</v>
      </c>
      <c r="F54" s="449" t="str">
        <f>IF(OR(E54&gt;=0.3,E54&lt;=-0.3),"超过30%","")</f>
        <v/>
      </c>
      <c r="G54" s="448">
        <f>IF(G47&lt;I47,I47/G47-1,G47/I47-1)</f>
        <v>7.6923076923076872E-2</v>
      </c>
      <c r="H54" s="449" t="str">
        <f>IF(OR(G54&gt;=0.3,G54&lt;=-0.3),"超过30%","")</f>
        <v/>
      </c>
      <c r="I54" s="448">
        <f>IF(I47&lt;E47,E47/I47-1,I47/E47-1)</f>
        <v>4.1666666666666741E-2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9.75" customHeigh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hidden="1"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hidden="1">
      <c r="A61" s="470" t="s">
        <v>1681</v>
      </c>
      <c r="B61" s="459"/>
      <c r="C61" s="471" t="s">
        <v>1776</v>
      </c>
      <c r="D61" s="3791" t="s">
        <v>3395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t="str">
        <f>B12</f>
        <v>现状使用</v>
      </c>
      <c r="C70" s="3793" t="s">
        <v>3431</v>
      </c>
      <c r="D70" s="3793" t="s">
        <v>3432</v>
      </c>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v>100</v>
      </c>
      <c r="D71" s="485">
        <v>105</v>
      </c>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793" t="s">
        <v>3397</v>
      </c>
      <c r="D86" s="3793" t="s">
        <v>3398</v>
      </c>
      <c r="E86" s="3793" t="s">
        <v>3399</v>
      </c>
      <c r="F86" s="3793" t="s">
        <v>3401</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t="s">
        <v>3402</v>
      </c>
      <c r="D88" s="503" t="s">
        <v>3403</v>
      </c>
      <c r="E88" s="503" t="s">
        <v>3404</v>
      </c>
      <c r="F88" s="1927" t="s">
        <v>3405</v>
      </c>
      <c r="G88" s="503" t="s">
        <v>3406</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793" t="s">
        <v>3407</v>
      </c>
      <c r="D90" s="3793" t="s">
        <v>3408</v>
      </c>
      <c r="E90" s="3793" t="s">
        <v>3409</v>
      </c>
      <c r="F90" s="3793" t="s">
        <v>3411</v>
      </c>
      <c r="G90" s="3793" t="s">
        <v>3412</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3413</v>
      </c>
      <c r="D92" s="503" t="s">
        <v>3414</v>
      </c>
      <c r="E92" s="503" t="s">
        <v>3415</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v>70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794" t="s">
        <v>3416</v>
      </c>
      <c r="D100" s="3794" t="s">
        <v>3418</v>
      </c>
      <c r="E100" s="3794" t="s">
        <v>3417</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0(含)-500</v>
      </c>
      <c r="D102" s="527" t="str">
        <f t="shared" ref="D102:L102" si="24">D103&amp;"(含)"&amp;"-"&amp;E103</f>
        <v>500(含)-1000</v>
      </c>
      <c r="E102" s="527" t="str">
        <f t="shared" si="24"/>
        <v>1000(含)-1500</v>
      </c>
      <c r="F102" s="527" t="str">
        <f t="shared" si="24"/>
        <v>1500(含)-2000</v>
      </c>
      <c r="G102" s="527" t="str">
        <f t="shared" si="24"/>
        <v>2000(含)-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C103+500</f>
        <v>500</v>
      </c>
      <c r="E103" s="544">
        <f t="shared" ref="E103:G103" si="25">D103+500</f>
        <v>1000</v>
      </c>
      <c r="F103" s="544">
        <f t="shared" si="25"/>
        <v>1500</v>
      </c>
      <c r="G103" s="544">
        <f t="shared" si="25"/>
        <v>2000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G104" si="26">D104-1</f>
        <v>98</v>
      </c>
      <c r="F104" s="485">
        <f t="shared" si="26"/>
        <v>97</v>
      </c>
      <c r="G104" s="485">
        <f t="shared" si="26"/>
        <v>96</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793" t="s">
        <v>3419</v>
      </c>
      <c r="D114" s="3793" t="s">
        <v>3420</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793" t="s">
        <v>3421</v>
      </c>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793" t="s">
        <v>3423</v>
      </c>
      <c r="D122" s="3793" t="s">
        <v>3425</v>
      </c>
      <c r="E122" s="3793" t="s">
        <v>3426</v>
      </c>
      <c r="F122" s="3795" t="s">
        <v>3427</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698.68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698.68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受贵公司委托，我公司对北京市朝阳区百子湾家园312号楼房地产抵押价值进行了预评估。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估价对象为北京市朝阳区百子湾家园312号楼房地产，为所有。根据《国有土地使用证》[]，估价对象（分摊）出让国有建设用地使用权面积为0平方米，建筑面积为698.68平方米。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估价对象为北京市朝阳区百子湾家园312号楼房地产,属开发建设的，该项目尚在开发建设中。根据《国有土地使用证》[]，估价对象（分摊）出让国有建设用地使用权面积为0平方米，规划建筑面积为698.68平方米。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百子湾家园312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5"/>
      <c r="Q10" s="1343"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698.68</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698.68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5"/>
      <c r="Q10" s="1343"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698.68</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45075</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698.68</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698.68</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698.68</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3" t="s">
        <v>94</v>
      </c>
    </row>
    <row r="43" spans="1:7" ht="13.5" customHeight="1">
      <c r="A43" s="780" t="s">
        <v>347</v>
      </c>
      <c r="B43" s="215" t="s">
        <v>426</v>
      </c>
      <c r="C43" s="238" t="e">
        <f ca="1">ROUND(IF('数据-取费表'!B22&lt;=1,C39*F22*'数据-取费表'!B21/2,C39*(POWER((1+F22),'数据-取费表'!B21/2)-1)),0)</f>
        <v>#VALUE!</v>
      </c>
      <c r="D43" s="238"/>
      <c r="E43" s="238"/>
      <c r="F43" s="239"/>
      <c r="G43" s="3634"/>
    </row>
    <row r="44" spans="1:7" ht="13.5" customHeight="1">
      <c r="A44" s="780" t="s">
        <v>348</v>
      </c>
      <c r="B44" s="215" t="s">
        <v>428</v>
      </c>
      <c r="C44" s="238" t="e">
        <f ca="1">ROUND(IF('数据-取费表'!B22&lt;=1,C40*F22*'数据-取费表'!B21/2,C40*(POWER((1+F22),'数据-取费表'!B21/2)-1)),4)</f>
        <v>#VALUE!</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L37" sqref="L37"/>
    </sheetView>
  </sheetViews>
  <sheetFormatPr defaultRowHeight="13.5"/>
  <cols>
    <col min="1" max="1" width="13.875" customWidth="1"/>
    <col min="11" max="17" width="0" hidden="1" customWidth="1"/>
    <col min="25" max="30" width="0" hidden="1" customWidth="1"/>
  </cols>
  <sheetData>
    <row r="1" spans="1:30">
      <c r="A1" s="3221">
        <f>基准地价修正!G23</f>
        <v>45075</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45075</v>
      </c>
      <c r="D1" s="1302" t="s">
        <v>603</v>
      </c>
      <c r="E1" s="1297">
        <f>'数据-取费表'!B22</f>
        <v>0</v>
      </c>
      <c r="F1" s="1302" t="s">
        <v>604</v>
      </c>
      <c r="G1" s="1298" t="e">
        <f ca="1">INDIRECT("d"&amp;$K$1)/100</f>
        <v>#VALUE!</v>
      </c>
      <c r="H1" s="1302" t="s">
        <v>634</v>
      </c>
      <c r="I1" s="1298">
        <f ca="1">F4/100</f>
        <v>1.4999999999999999E-2</v>
      </c>
      <c r="J1" s="1303">
        <f>IF(C1&gt;C13,0,MATCH(C1,C$13:C$109,-1))+IF(SUMIF(C13:C109,C1,D13:D109)=0,13,12)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北京市朝阳区百子湾家园312号楼房地产</v>
      </c>
      <c r="B4" s="854">
        <f>项目基本情况!C17</f>
        <v>698.68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2023-05-29T02:26:23Z</dcterms:modified>
</cp:coreProperties>
</file>