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loft" sheetId="74" r:id="rId32"/>
    <sheet name="不动产比较法平层" sheetId="21" r:id="rId33"/>
    <sheet name="不动产收益法底" sheetId="15" r:id="rId34"/>
    <sheet name="不动产收益法商" sheetId="69" r:id="rId35"/>
    <sheet name="不动产收益法" sheetId="71"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收益法车" sheetId="70"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1" hidden="1">不动产比较法loft!$A$1:$L$49</definedName>
    <definedName name="_xlnm._FilterDatabase" localSheetId="39"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不动产比较法平层!$A$1:$L$49</definedName>
    <definedName name="_xlnm._FilterDatabase" localSheetId="38" hidden="1">'不动产比较法-商业'!$A$1:$L$49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不动产比较法loft!$B$88:$M$88</definedName>
    <definedName name="住宅朝向">不动产比较法平层!$B$88:$M$88</definedName>
    <definedName name="住宅房型" localSheetId="31">不动产比较法loft!$B$118:$M$118</definedName>
    <definedName name="住宅房型">不动产比较法平层!$B$118:$M$118</definedName>
    <definedName name="住宅公共部分装修" localSheetId="31">不动产比较法loft!$B$109:$M$109</definedName>
    <definedName name="住宅公共部分装修">不动产比较法平层!$B$109:$M$109</definedName>
    <definedName name="住宅基础设施水平" localSheetId="31">不动产比较法loft!$B$116:$M$116</definedName>
    <definedName name="住宅基础设施水平">不动产比较法平层!$B$116:$M$116</definedName>
    <definedName name="住宅建筑结构" localSheetId="31">不动产比较法loft!$B$105:$M$105</definedName>
    <definedName name="住宅建筑结构">不动产比较法平层!$B$105:$M$105</definedName>
    <definedName name="住宅建筑类型" localSheetId="31">不动产比较法loft!$B$100:$M$100</definedName>
    <definedName name="住宅建筑类型">不动产比较法平层!$B$100:$M$100</definedName>
    <definedName name="住宅建筑品质" localSheetId="31">不动产比较法loft!$B$107:$M$107</definedName>
    <definedName name="住宅建筑品质">不动产比较法平层!$B$107:$M$107</definedName>
    <definedName name="住宅交易情况" localSheetId="31">不动产比较法loft!$A$61:$M$61</definedName>
    <definedName name="住宅交易情况">不动产比较法平层!$A$61:$M$61</definedName>
    <definedName name="住宅楼层" localSheetId="31">不动产比较法loft!$B$86:$M$86</definedName>
    <definedName name="住宅楼层">不动产比较法平层!$B$86:$M$86</definedName>
    <definedName name="住宅内部装修" localSheetId="31">不动产比较法loft!$B$122:$M$122</definedName>
    <definedName name="住宅内部装修">不动产比较法平层!$B$122:$M$122</definedName>
    <definedName name="住宅物业管理" localSheetId="31">不动产比较法loft!$B$114:$M$114</definedName>
    <definedName name="住宅物业管理">不动产比较法平层!$B$114:$M$114</definedName>
    <definedName name="住宅用途" localSheetId="31">不动产比较法loft!$B$63:$M$63</definedName>
    <definedName name="住宅用途">不动产比较法平层!$B$63:$M$63</definedName>
    <definedName name="住宅主力户型面积" localSheetId="31">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N2" i="68" l="1"/>
  <c r="N3" i="68"/>
  <c r="N6" i="68"/>
  <c r="E73" i="39" l="1"/>
  <c r="F73" i="39" s="1"/>
  <c r="G73" i="39" s="1"/>
  <c r="H73" i="39" s="1"/>
  <c r="I73" i="39" s="1"/>
  <c r="D73" i="39"/>
  <c r="AL13" i="3" l="1"/>
  <c r="I39" i="6"/>
  <c r="Q10" i="1" l="1"/>
  <c r="N10" i="1"/>
  <c r="L10" i="1"/>
  <c r="K11" i="68"/>
  <c r="AL15" i="3" s="1"/>
  <c r="N10" i="68"/>
  <c r="K10" i="68"/>
  <c r="K9" i="68"/>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M13" i="68"/>
  <c r="P13" i="68"/>
  <c r="F13" i="68"/>
  <c r="H13" i="68"/>
  <c r="I13" i="68"/>
  <c r="J13" i="68"/>
  <c r="K13" i="68"/>
  <c r="G12" i="68"/>
  <c r="G13" i="68" s="1"/>
  <c r="N5" i="68"/>
  <c r="N4" i="68"/>
  <c r="I48" i="39" s="1"/>
  <c r="G48" i="39"/>
  <c r="E48" i="39"/>
  <c r="O15" i="3" l="1"/>
  <c r="N13" i="68"/>
  <c r="K16" i="3"/>
  <c r="O14" i="3"/>
  <c r="O13" i="68" l="1"/>
  <c r="I40" i="39"/>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38" i="9"/>
  <c r="C38" i="9"/>
  <c r="C37" i="9"/>
  <c r="D53" i="72" l="1"/>
  <c r="D55" i="72" s="1"/>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B7"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2" i="67"/>
  <c r="B11" i="67"/>
  <c r="E13" i="67"/>
  <c r="E9" i="67"/>
  <c r="F14" i="67"/>
  <c r="B8" i="67"/>
  <c r="F8" i="67"/>
  <c r="E10" i="67"/>
  <c r="E12" i="67"/>
  <c r="F11" i="67"/>
  <c r="F13" i="67"/>
  <c r="B12" i="67"/>
  <c r="B10" i="67"/>
  <c r="B9" i="67"/>
  <c r="F10" i="67"/>
  <c r="B13" i="67"/>
  <c r="E14" i="67"/>
  <c r="E11" i="67"/>
  <c r="B14"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4" i="65"/>
  <c r="J3" i="65"/>
  <c r="N3" i="65"/>
  <c r="N5" i="65"/>
  <c r="J1" i="65" l="1"/>
  <c r="C4" i="65"/>
  <c r="B39" i="1" s="1"/>
  <c r="I5" i="65"/>
  <c r="I4" i="65"/>
  <c r="I6" i="65"/>
  <c r="I7" i="65"/>
  <c r="I3" i="65"/>
  <c r="J7" i="65"/>
  <c r="J6" i="65"/>
  <c r="J5"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BL15" i="3" l="1"/>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F40" i="44"/>
  <c r="L47" i="15"/>
  <c r="M24" i="44"/>
  <c r="F8" i="44"/>
  <c r="M29" i="44"/>
  <c r="M22" i="15"/>
  <c r="M8" i="44"/>
  <c r="J15" i="15"/>
  <c r="M25" i="44"/>
  <c r="M30" i="44"/>
  <c r="F45" i="44"/>
  <c r="F6" i="15"/>
  <c r="L48" i="44"/>
  <c r="F43" i="44"/>
  <c r="L49" i="44"/>
  <c r="M26" i="44"/>
  <c r="F15" i="44"/>
  <c r="F18" i="44"/>
  <c r="M10" i="44"/>
  <c r="M28" i="44"/>
  <c r="F40" i="15"/>
  <c r="M11" i="44"/>
  <c r="M23" i="15"/>
  <c r="J17" i="44"/>
  <c r="F42" i="15"/>
  <c r="F28" i="44"/>
  <c r="F11" i="44"/>
  <c r="F26" i="15"/>
  <c r="F10" i="44"/>
  <c r="F38" i="44"/>
  <c r="M8" i="15"/>
  <c r="K9" i="1" l="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37" i="9" s="1"/>
  <c r="E37" i="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M28" i="70"/>
  <c r="F38" i="15"/>
  <c r="M27" i="71"/>
  <c r="M23" i="69"/>
  <c r="M29" i="69"/>
  <c r="F16" i="69"/>
  <c r="F8" i="71"/>
  <c r="M6" i="70"/>
  <c r="M6" i="69"/>
  <c r="M24" i="15"/>
  <c r="L47" i="69"/>
  <c r="M22" i="69"/>
  <c r="F40" i="71"/>
  <c r="F40" i="70"/>
  <c r="M9" i="15"/>
  <c r="J15" i="70"/>
  <c r="F16" i="70"/>
  <c r="L47" i="71"/>
  <c r="M27" i="69"/>
  <c r="F37" i="15"/>
  <c r="M29" i="15"/>
  <c r="M27" i="70"/>
  <c r="M22" i="70"/>
  <c r="F7" i="15"/>
  <c r="L48" i="15"/>
  <c r="F43" i="71"/>
  <c r="M8" i="69"/>
  <c r="M22" i="71"/>
  <c r="F42" i="71"/>
  <c r="F9" i="69"/>
  <c r="F38" i="70"/>
  <c r="F9" i="15"/>
  <c r="F37" i="70"/>
  <c r="F36" i="70"/>
  <c r="L48" i="71"/>
  <c r="F36" i="71"/>
  <c r="F8" i="69"/>
  <c r="M28" i="71"/>
  <c r="M28" i="15"/>
  <c r="L48" i="70"/>
  <c r="M9" i="69"/>
  <c r="F40" i="69"/>
  <c r="F43" i="15"/>
  <c r="F26" i="70"/>
  <c r="M9" i="70"/>
  <c r="F6" i="71"/>
  <c r="F9" i="71"/>
  <c r="F36" i="69"/>
  <c r="M26" i="70"/>
  <c r="F8" i="15"/>
  <c r="J36" i="70"/>
  <c r="M24" i="71"/>
  <c r="F38" i="69"/>
  <c r="J36" i="69"/>
  <c r="M6" i="15"/>
  <c r="J36" i="15"/>
  <c r="L47" i="70"/>
  <c r="F13" i="15"/>
  <c r="F9" i="70"/>
  <c r="F7" i="70"/>
  <c r="M27" i="15"/>
  <c r="M28" i="69"/>
  <c r="M26" i="71"/>
  <c r="F43" i="70"/>
  <c r="M26" i="15"/>
  <c r="J15" i="71"/>
  <c r="F6" i="70"/>
  <c r="F38" i="71"/>
  <c r="M31" i="44"/>
  <c r="F42" i="70"/>
  <c r="F13" i="69"/>
  <c r="F37" i="69"/>
  <c r="F16" i="71"/>
  <c r="F43" i="69"/>
  <c r="M29" i="71"/>
  <c r="F37" i="71"/>
  <c r="J36" i="71"/>
  <c r="M24" i="70"/>
  <c r="F9" i="44"/>
  <c r="M23" i="70"/>
  <c r="F7" i="69"/>
  <c r="F26" i="69"/>
  <c r="L48" i="69"/>
  <c r="M26" i="69"/>
  <c r="F36" i="15"/>
  <c r="M8" i="70"/>
  <c r="F6" i="69"/>
  <c r="M6" i="71"/>
  <c r="F26" i="71"/>
  <c r="M8" i="71"/>
  <c r="F8" i="70"/>
  <c r="F16" i="15"/>
  <c r="M29" i="70"/>
  <c r="M24" i="69"/>
  <c r="J15" i="69"/>
  <c r="F7" i="71"/>
  <c r="F42" i="69"/>
  <c r="F13" i="70"/>
  <c r="F13" i="71"/>
  <c r="M9" i="71"/>
  <c r="M23" i="71"/>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D22" i="46" s="1"/>
  <c r="AG11" i="46"/>
  <c r="AG13" i="46" s="1"/>
  <c r="Z11" i="46"/>
  <c r="Z13" i="46" s="1"/>
  <c r="AH11" i="46"/>
  <c r="AH13" i="46" s="1"/>
  <c r="AA11" i="46"/>
  <c r="AA13" i="46" s="1"/>
  <c r="AF11" i="46"/>
  <c r="AF13" i="46" s="1"/>
  <c r="K104" i="46"/>
  <c r="F106"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F104" i="46"/>
  <c r="C109" i="46"/>
  <c r="C103"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4" i="46"/>
  <c r="M103" i="46"/>
  <c r="M105" i="46"/>
  <c r="H102" i="46"/>
  <c r="H107" i="46"/>
  <c r="H103" i="46"/>
  <c r="U7" i="35"/>
  <c r="AC7" i="36"/>
  <c r="V36" i="36" s="1"/>
  <c r="I36" i="36" s="1"/>
  <c r="I40" i="36" s="1"/>
  <c r="J40" i="36" s="1"/>
  <c r="W18" i="36"/>
  <c r="AC18" i="36"/>
  <c r="U7" i="36"/>
  <c r="G41" i="36"/>
  <c r="H41" i="36" s="1"/>
  <c r="W7" i="35"/>
  <c r="S7" i="37"/>
  <c r="U7" i="34"/>
  <c r="E48" i="33"/>
  <c r="E52" i="33" s="1"/>
  <c r="F52" i="33" s="1"/>
  <c r="AG6" i="1"/>
  <c r="F31" i="6"/>
  <c r="AC6" i="3"/>
  <c r="D21" i="12"/>
  <c r="C21" i="12" s="1"/>
  <c r="D12" i="11"/>
  <c r="C12" i="11" s="1"/>
  <c r="C27" i="12"/>
  <c r="D26" i="12" s="1"/>
  <c r="E59" i="40"/>
  <c r="E29" i="6"/>
  <c r="L20" i="6" s="1"/>
  <c r="E58" i="40"/>
  <c r="E63" i="39"/>
  <c r="E16" i="6"/>
  <c r="AZ5" i="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69"/>
  <c r="C16" i="71"/>
  <c r="C16" i="15"/>
  <c r="C18" i="44"/>
  <c r="C16" i="70"/>
  <c r="L52" i="44"/>
  <c r="M106" i="46" l="1"/>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C19" i="44"/>
  <c r="E7" i="67"/>
  <c r="AE8" i="1"/>
  <c r="C17" i="69"/>
  <c r="C17" i="15"/>
  <c r="F7" i="67"/>
  <c r="AE7" i="1"/>
  <c r="C17" i="71"/>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70"/>
  <c r="C16" i="44"/>
  <c r="C14" i="69"/>
  <c r="C14" i="71"/>
  <c r="C14" i="15"/>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M21" i="70"/>
  <c r="M21" i="71"/>
  <c r="M21" i="15"/>
  <c r="F35" i="69"/>
  <c r="F35" i="15"/>
  <c r="F35" i="71"/>
  <c r="M21" i="69"/>
  <c r="F37" i="44"/>
  <c r="F35" i="70"/>
  <c r="M23" i="44"/>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1"/>
  <c r="L51" i="69"/>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AE9" i="1"/>
  <c r="F41" i="15"/>
  <c r="F46" i="44"/>
  <c r="F41" i="71"/>
  <c r="F41" i="69"/>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<sst xmlns="http://schemas.openxmlformats.org/spreadsheetml/2006/main" count="8847" uniqueCount="3238">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</sst>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房山区周口店镇02街区02-0001地块出让国有建设用地使用权抵押价格预评估</v>
      </c>
      <c r="AX2" s="2917"/>
      <c r="AZ2" s="2917"/>
      <c r="BA2" s="2918"/>
      <c r="BC2" s="2918"/>
    </row>
    <row r="3" spans="1:55" s="2919" customFormat="1">
      <c r="A3" s="2898" t="s">
        <v>2661</v>
      </c>
      <c r="B3" s="2901" t="str">
        <f>'预评函-封皮'!B40</f>
        <v>北京凯华房地产开发有限公司</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受贵公司委托，我公司对房山区周口店镇02街区02-0001地块出让国有建设用地使用权抵押价格进行了预评估。</v>
      </c>
      <c r="AM6" s="2923"/>
    </row>
    <row r="7" spans="1:55" s="2897" customFormat="1">
      <c r="A7" s="2898" t="s">
        <v>2657</v>
      </c>
      <c r="B7" s="2899" t="str">
        <f>'预评函-1'!A6</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17698</v>
      </c>
    </row>
    <row r="47" spans="1:2">
      <c r="A47" s="2898" t="s">
        <v>2724</v>
      </c>
      <c r="B47" s="2899">
        <f ca="1">'预评函-2'!Q5</f>
        <v>5175</v>
      </c>
    </row>
    <row r="48" spans="1:2">
      <c r="A48" s="2898" t="s">
        <v>2725</v>
      </c>
      <c r="B48" s="2899">
        <f ca="1">'预评函-2'!R5</f>
        <v>109501</v>
      </c>
    </row>
    <row r="49" spans="1:2">
      <c r="A49" s="2898" t="s">
        <v>2741</v>
      </c>
      <c r="B49" s="2899" t="str">
        <f>'预评函-2'!A6</f>
        <v>抵押价格</v>
      </c>
    </row>
    <row r="50" spans="1:2">
      <c r="A50" s="2898" t="s">
        <v>2726</v>
      </c>
      <c r="B50" s="2899">
        <f ca="1">'预评函-2'!R6</f>
        <v>109501</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G18" sqref="G18"/>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78" t="str">
        <f>IF(B10="北京市","北京市",C10)&amp;F10&amp;B16&amp;"国有建设用地使用权"&amp;B9&amp;"预评估"</f>
        <v>房山区周口店镇02街区02-0001地块出让国有建设用地使用权抵押价格预评估</v>
      </c>
      <c r="C1" s="3279"/>
      <c r="D1" s="3279"/>
      <c r="E1" s="3279"/>
      <c r="F1" s="3279"/>
      <c r="G1" s="3279"/>
      <c r="H1" s="3279"/>
      <c r="I1" s="3280"/>
      <c r="J1" s="1689"/>
      <c r="K1" s="2475" t="str">
        <f>IF(B10="北京市","北京市",C10)&amp;F10&amp;B16&amp;"国有建设用地使用权"&amp;B9</f>
        <v>房山区周口店镇02街区02-0001地块出让国有建设用地使用权抵押价格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房山区周口店镇02街区02-0001地块出让国有建设用地使用权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2889</v>
      </c>
      <c r="C4" s="1841">
        <f>SUMIF(土地估价师,B4,估价师及机构信息!E3:E24)</f>
        <v>0</v>
      </c>
      <c r="D4" s="1838" t="s">
        <v>2889</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1940</v>
      </c>
      <c r="B5" s="1784" t="s">
        <v>2980</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2999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北京凯华房地产开发有限公司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2981</v>
      </c>
      <c r="C8" s="1666"/>
      <c r="D8" s="3284" t="s">
        <v>1943</v>
      </c>
      <c r="E8" s="1839" t="s">
        <v>2982</v>
      </c>
      <c r="F8" s="1667"/>
      <c r="G8" s="1655"/>
      <c r="H8" s="1655"/>
      <c r="I8" s="1702"/>
      <c r="J8" s="1689"/>
      <c r="K8" s="1769"/>
      <c r="L8" s="1718"/>
      <c r="M8" s="1718"/>
      <c r="N8" s="1689"/>
      <c r="O8" s="1690"/>
      <c r="P8" s="1689"/>
      <c r="Q8" s="1689"/>
      <c r="R8" s="1689"/>
      <c r="S8" s="1689"/>
      <c r="T8" s="1689"/>
      <c r="U8" s="1689"/>
    </row>
    <row r="9" spans="1:21" ht="15" thickBot="1">
      <c r="A9" s="1668" t="s">
        <v>1942</v>
      </c>
      <c r="B9" s="1669" t="s">
        <v>2982</v>
      </c>
      <c r="C9" s="1670"/>
      <c r="D9" s="3285"/>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3235</v>
      </c>
      <c r="C10" s="1671"/>
      <c r="D10" s="1662"/>
      <c r="E10" s="1672" t="s">
        <v>1945</v>
      </c>
      <c r="F10" s="1673" t="s">
        <v>3000</v>
      </c>
      <c r="G10" s="1740"/>
      <c r="H10" s="1741"/>
      <c r="I10" s="1662"/>
      <c r="J10" s="1689"/>
      <c r="K10" s="1769"/>
      <c r="L10" s="1718"/>
      <c r="M10" s="1718"/>
      <c r="N10" s="1689"/>
      <c r="O10" s="1690"/>
      <c r="P10" s="1689"/>
      <c r="Q10" s="1689"/>
      <c r="R10" s="1689"/>
      <c r="S10" s="1689"/>
      <c r="T10" s="1689"/>
      <c r="U10" s="1689"/>
    </row>
    <row r="11" spans="1:21" ht="42.75">
      <c r="A11" s="1692" t="s">
        <v>1999</v>
      </c>
      <c r="B11" s="1693" t="s">
        <v>2983</v>
      </c>
      <c r="C11" s="1674" t="str">
        <f>B5</f>
        <v>北京凯华房地产开发有限公司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1"/>
      <c r="C12" s="3282"/>
      <c r="D12" s="3283"/>
      <c r="E12" s="1694" t="s">
        <v>2060</v>
      </c>
      <c r="F12" s="3299" t="s">
        <v>2890</v>
      </c>
      <c r="G12" s="3300"/>
      <c r="H12" s="3300"/>
      <c r="I12" s="3301"/>
      <c r="J12" s="1689"/>
      <c r="K12" s="1769"/>
      <c r="L12" s="1718"/>
      <c r="M12" s="1718"/>
      <c r="N12" s="1689"/>
      <c r="O12" s="1690"/>
      <c r="P12" s="1689"/>
      <c r="Q12" s="1689"/>
      <c r="R12" s="1689"/>
      <c r="S12" s="1689"/>
      <c r="T12" s="1689"/>
      <c r="U12" s="1689"/>
    </row>
    <row r="13" spans="1:21">
      <c r="A13" s="1682" t="s">
        <v>2058</v>
      </c>
      <c r="B13" s="3281"/>
      <c r="C13" s="3282"/>
      <c r="D13" s="3283"/>
      <c r="E13" s="1694" t="s">
        <v>2060</v>
      </c>
      <c r="F13" s="3299" t="s">
        <v>2891</v>
      </c>
      <c r="G13" s="3300"/>
      <c r="H13" s="3300"/>
      <c r="I13" s="3301"/>
      <c r="J13" s="1689"/>
      <c r="K13" s="1769"/>
      <c r="L13" s="1718"/>
      <c r="M13" s="1718"/>
      <c r="N13" s="1689"/>
      <c r="O13" s="1690"/>
      <c r="P13" s="1689"/>
      <c r="Q13" s="1689"/>
      <c r="R13" s="1689"/>
      <c r="S13" s="1689"/>
      <c r="T13" s="1689"/>
      <c r="U13" s="1689"/>
    </row>
    <row r="14" spans="1:21">
      <c r="A14" s="1656" t="s">
        <v>2061</v>
      </c>
      <c r="B14" s="1694"/>
      <c r="C14" s="1840" t="s">
        <v>2984</v>
      </c>
      <c r="D14" s="1728" t="str">
        <f>IF(C14="不一致","是否符合证载地类范围","")</f>
        <v/>
      </c>
      <c r="E14" s="1694"/>
      <c r="F14" s="1785" t="s">
        <v>2985</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2986</v>
      </c>
      <c r="C16" s="1694" t="s">
        <v>1947</v>
      </c>
      <c r="D16" s="2666" t="s">
        <v>1948</v>
      </c>
      <c r="E16" s="1717" t="s">
        <v>2987</v>
      </c>
      <c r="F16" s="1717"/>
      <c r="G16" s="1717" t="s">
        <v>35</v>
      </c>
      <c r="H16" s="1717" t="s">
        <v>2988</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6"/>
      <c r="E20" s="3297"/>
      <c r="F20" s="3297"/>
      <c r="G20" s="3297"/>
      <c r="H20" s="3297"/>
      <c r="I20" s="3298"/>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86" t="s">
        <v>1997</v>
      </c>
      <c r="F21" s="3287"/>
      <c r="G21" s="3287"/>
      <c r="H21" s="3287"/>
      <c r="I21" s="3288"/>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86" t="s">
        <v>2892</v>
      </c>
      <c r="F22" s="3287"/>
      <c r="G22" s="3287"/>
      <c r="H22" s="3287"/>
      <c r="I22" s="3288"/>
      <c r="J22" s="1689"/>
      <c r="K22" s="1769"/>
      <c r="L22" s="1718"/>
      <c r="M22" s="1718"/>
      <c r="N22" s="1689"/>
      <c r="O22" s="1690"/>
      <c r="P22" s="1689"/>
      <c r="Q22" s="1689"/>
      <c r="R22" s="1689"/>
      <c r="S22" s="1689"/>
      <c r="T22" s="1689"/>
      <c r="U22" s="1689"/>
    </row>
    <row r="23" spans="1:21" ht="29.25" thickBot="1">
      <c r="A23" s="1760" t="s">
        <v>1961</v>
      </c>
      <c r="B23" s="1696" t="s">
        <v>1962</v>
      </c>
      <c r="C23" s="1697" t="s">
        <v>2989</v>
      </c>
      <c r="D23" s="1698" t="s">
        <v>1963</v>
      </c>
      <c r="E23" s="1699" t="s">
        <v>2989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89" t="s">
        <v>1965</v>
      </c>
      <c r="C24" s="3290"/>
      <c r="D24" s="3291" t="s">
        <v>1966</v>
      </c>
      <c r="E24" s="3292"/>
      <c r="F24" s="1703" t="s">
        <v>1967</v>
      </c>
      <c r="G24" s="1689"/>
      <c r="H24" s="1689"/>
      <c r="I24" s="1702"/>
      <c r="J24" s="1689"/>
      <c r="K24" s="3277"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77"/>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77"/>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04" t="s">
        <v>2000</v>
      </c>
      <c r="B31" s="1759" t="s">
        <v>2001</v>
      </c>
      <c r="C31" s="3302" t="s">
        <v>2990</v>
      </c>
      <c r="D31" s="3303"/>
      <c r="E31" s="1689"/>
      <c r="F31" s="1689"/>
      <c r="G31" s="1689"/>
      <c r="H31" s="1689"/>
      <c r="I31" s="1702"/>
      <c r="J31" s="1689"/>
      <c r="K31" s="2478"/>
      <c r="L31" s="1689"/>
      <c r="M31" s="1689"/>
      <c r="N31" s="1689"/>
      <c r="O31" s="1689"/>
      <c r="P31" s="1689"/>
      <c r="Q31" s="1689"/>
      <c r="R31" s="1689"/>
      <c r="S31" s="1689"/>
      <c r="T31" s="1689"/>
      <c r="U31" s="1689"/>
    </row>
    <row r="32" spans="1:21">
      <c r="A32" s="3304"/>
      <c r="B32" s="1656" t="s">
        <v>2002</v>
      </c>
      <c r="C32" s="1714" t="s">
        <v>2991</v>
      </c>
      <c r="D32" s="1715"/>
      <c r="E32" s="1689"/>
      <c r="F32" s="1689"/>
      <c r="G32" s="1689"/>
      <c r="H32" s="1689"/>
      <c r="I32" s="1702"/>
      <c r="J32" s="1689"/>
      <c r="K32" s="2478"/>
      <c r="L32" s="1689"/>
      <c r="M32" s="1689"/>
      <c r="N32" s="1689"/>
      <c r="O32" s="1689"/>
      <c r="P32" s="1689"/>
      <c r="Q32" s="1689"/>
      <c r="R32" s="1689"/>
      <c r="S32" s="1689"/>
      <c r="T32" s="1689"/>
      <c r="U32" s="1689"/>
    </row>
    <row r="33" spans="1:21">
      <c r="A33" s="3304"/>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5"/>
      <c r="B34" s="1656" t="s">
        <v>2004</v>
      </c>
      <c r="C34" s="3306"/>
      <c r="D34" s="3307"/>
      <c r="E34" s="1689"/>
      <c r="F34" s="1689"/>
      <c r="G34" s="1689"/>
      <c r="H34" s="1689"/>
      <c r="I34" s="1702"/>
      <c r="J34" s="1689"/>
      <c r="K34" s="2478"/>
      <c r="L34" s="1689"/>
      <c r="M34" s="1689"/>
      <c r="N34" s="1689"/>
      <c r="O34" s="1689"/>
      <c r="P34" s="1689"/>
      <c r="Q34" s="1689"/>
      <c r="R34" s="1689"/>
      <c r="S34" s="1689"/>
      <c r="T34" s="1689"/>
      <c r="U34" s="1689"/>
    </row>
    <row r="35" spans="1:21" ht="28.5">
      <c r="A35" s="3308" t="s">
        <v>843</v>
      </c>
      <c r="B35" s="1717" t="s">
        <v>2992</v>
      </c>
      <c r="C35" s="1771" t="str">
        <f>IF(B35="场地平整","——","具体情况：")</f>
        <v>具体情况：</v>
      </c>
      <c r="D35" s="3310"/>
      <c r="E35" s="3311"/>
      <c r="F35" s="3311"/>
      <c r="G35" s="3311"/>
      <c r="H35" s="3311"/>
      <c r="I35" s="3312"/>
      <c r="J35" s="1689"/>
      <c r="K35" s="1770"/>
      <c r="L35" s="1718"/>
      <c r="M35" s="1718"/>
      <c r="N35" s="1689"/>
      <c r="O35" s="1690"/>
      <c r="P35" s="1689"/>
      <c r="Q35" s="1689"/>
      <c r="R35" s="1689"/>
      <c r="S35" s="1689"/>
      <c r="T35" s="1689"/>
      <c r="U35" s="1689"/>
    </row>
    <row r="36" spans="1:21">
      <c r="A36" s="3304"/>
      <c r="B36" s="3313" t="s">
        <v>2053</v>
      </c>
      <c r="C36" s="3314"/>
      <c r="D36" s="1787" t="s">
        <v>2993</v>
      </c>
      <c r="E36" s="3315"/>
      <c r="F36" s="3315"/>
      <c r="G36" s="1682" t="str">
        <f>IF(B35="场地未平整","估价结果处理","")</f>
        <v/>
      </c>
      <c r="H36" s="3316"/>
      <c r="I36" s="3316"/>
      <c r="J36" s="1689"/>
      <c r="K36" s="1770"/>
      <c r="L36" s="1718"/>
      <c r="M36" s="1718"/>
      <c r="N36" s="1689"/>
      <c r="O36" s="1690"/>
      <c r="P36" s="1689"/>
      <c r="Q36" s="1689"/>
      <c r="R36" s="1689"/>
      <c r="S36" s="1689"/>
      <c r="T36" s="1689"/>
      <c r="U36" s="1689"/>
    </row>
    <row r="37" spans="1:21" ht="28.5">
      <c r="A37" s="3304"/>
      <c r="B37" s="3293"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4"/>
      <c r="B38" s="3294"/>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305"/>
      <c r="B39" s="3295"/>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2994</v>
      </c>
      <c r="C40" s="1685" t="s">
        <v>2995</v>
      </c>
      <c r="D40" s="1685" t="s">
        <v>2996</v>
      </c>
      <c r="E40" s="1685" t="s">
        <v>2997</v>
      </c>
      <c r="F40" s="1685" t="s">
        <v>2998</v>
      </c>
      <c r="G40" s="1685"/>
      <c r="H40" s="1685"/>
      <c r="I40" s="1702"/>
      <c r="J40" s="1689"/>
      <c r="K40" s="1725">
        <f>COUNTIF(B40:H40,"——")</f>
        <v>0</v>
      </c>
      <c r="L40" s="1694" t="s">
        <v>1977</v>
      </c>
      <c r="M40" s="1691" t="s">
        <v>1978</v>
      </c>
      <c r="N40" s="1691" t="s">
        <v>1979</v>
      </c>
      <c r="O40" s="1691" t="s">
        <v>1980</v>
      </c>
      <c r="P40" s="1691" t="s">
        <v>1981</v>
      </c>
      <c r="Q40" s="1691" t="s">
        <v>1982</v>
      </c>
      <c r="R40" s="1691" t="s">
        <v>1983</v>
      </c>
      <c r="S40" s="3276" t="s">
        <v>1984</v>
      </c>
      <c r="T40" s="1726" t="str">
        <f>NUMBERSTRING(7-K40,1)&amp;"通"</f>
        <v>七通</v>
      </c>
      <c r="U40" s="1689"/>
    </row>
    <row r="41" spans="1:21">
      <c r="A41" s="1658"/>
      <c r="B41" s="3309" t="s">
        <v>1718</v>
      </c>
      <c r="C41" s="3309"/>
      <c r="D41" s="3309"/>
      <c r="E41" s="3309"/>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6"/>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2893</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B1" workbookViewId="0">
      <selection activeCell="G2" sqref="G2"/>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3078</v>
      </c>
      <c r="B1" s="2960" t="s">
        <v>3079</v>
      </c>
      <c r="C1" s="2960" t="s">
        <v>3080</v>
      </c>
      <c r="D1" s="2960" t="s">
        <v>3081</v>
      </c>
      <c r="E1" s="2960" t="s">
        <v>3082</v>
      </c>
      <c r="F1" s="2960" t="s">
        <v>3083</v>
      </c>
      <c r="G1" s="2960" t="s">
        <v>2031</v>
      </c>
      <c r="H1" s="2960" t="s">
        <v>3084</v>
      </c>
      <c r="I1" s="2960" t="s">
        <v>3085</v>
      </c>
      <c r="J1" s="2960" t="s">
        <v>3086</v>
      </c>
      <c r="K1" s="2960" t="s">
        <v>3087</v>
      </c>
      <c r="L1" s="2960" t="s">
        <v>3088</v>
      </c>
      <c r="M1" s="2960" t="s">
        <v>3089</v>
      </c>
      <c r="N1" s="2960" t="s">
        <v>3166</v>
      </c>
    </row>
    <row r="2" spans="1:16" s="3200" customFormat="1" ht="13.5">
      <c r="A2" s="3200" t="s">
        <v>3162</v>
      </c>
      <c r="B2" s="3200" t="s">
        <v>3140</v>
      </c>
      <c r="C2" s="3200" t="s">
        <v>3141</v>
      </c>
      <c r="D2" s="3200" t="s">
        <v>3163</v>
      </c>
      <c r="E2" s="3200">
        <v>6280</v>
      </c>
      <c r="F2" s="3200">
        <v>18840</v>
      </c>
      <c r="G2" s="3200" t="s">
        <v>3164</v>
      </c>
      <c r="H2" s="3200" t="s">
        <v>3165</v>
      </c>
      <c r="I2" s="3200" t="s">
        <v>3146</v>
      </c>
      <c r="J2" s="3200">
        <v>12830.04</v>
      </c>
      <c r="K2" s="3200">
        <v>1362</v>
      </c>
      <c r="L2" s="3200">
        <v>6810</v>
      </c>
      <c r="M2" s="3200">
        <v>240.5</v>
      </c>
      <c r="N2" s="3200">
        <f>ROUND(J2/E2*10000,0)</f>
        <v>20430</v>
      </c>
    </row>
    <row r="3" spans="1:16" s="3200" customFormat="1" ht="13.5">
      <c r="A3" s="3200" t="s">
        <v>3157</v>
      </c>
      <c r="B3" s="3200" t="s">
        <v>3140</v>
      </c>
      <c r="C3" s="3200" t="s">
        <v>3141</v>
      </c>
      <c r="D3" s="3200" t="s">
        <v>3158</v>
      </c>
      <c r="E3" s="3200">
        <v>8198.7999999999993</v>
      </c>
      <c r="F3" s="3200">
        <v>24596.400000000001</v>
      </c>
      <c r="G3" s="3200" t="s">
        <v>3159</v>
      </c>
      <c r="H3" s="3200" t="s">
        <v>3160</v>
      </c>
      <c r="I3" s="3200" t="s">
        <v>3161</v>
      </c>
      <c r="J3" s="3200">
        <v>18816.25</v>
      </c>
      <c r="K3" s="3200">
        <v>1530</v>
      </c>
      <c r="L3" s="3200">
        <v>7650</v>
      </c>
      <c r="M3" s="3200">
        <v>176.17</v>
      </c>
      <c r="N3" s="3200">
        <f>ROUND(J3/E3*10000,0)</f>
        <v>22950</v>
      </c>
    </row>
    <row r="4" spans="1:16" s="2960" customFormat="1" ht="13.5">
      <c r="A4" s="3200" t="s">
        <v>3147</v>
      </c>
      <c r="B4" s="3200" t="s">
        <v>3140</v>
      </c>
      <c r="C4" s="3200" t="s">
        <v>3141</v>
      </c>
      <c r="D4" s="3200" t="s">
        <v>3148</v>
      </c>
      <c r="E4" s="3200">
        <v>9195.2000000000007</v>
      </c>
      <c r="F4" s="3200">
        <v>32183.200000000001</v>
      </c>
      <c r="G4" s="3200" t="s">
        <v>3149</v>
      </c>
      <c r="H4" s="3200" t="s">
        <v>3150</v>
      </c>
      <c r="I4" s="3200" t="s">
        <v>3151</v>
      </c>
      <c r="J4" s="3200">
        <v>16896.18</v>
      </c>
      <c r="K4" s="3200">
        <v>1225</v>
      </c>
      <c r="L4" s="3200">
        <v>5250</v>
      </c>
      <c r="M4" s="3200">
        <v>101.15</v>
      </c>
      <c r="N4" s="3200">
        <f>ROUND(J4/E4*10000,0)</f>
        <v>18375</v>
      </c>
    </row>
    <row r="5" spans="1:16" s="2960" customFormat="1" ht="13.5">
      <c r="A5" s="3201" t="s">
        <v>3139</v>
      </c>
      <c r="B5" s="3201" t="s">
        <v>3140</v>
      </c>
      <c r="C5" s="3201" t="s">
        <v>3141</v>
      </c>
      <c r="D5" s="3201" t="s">
        <v>3142</v>
      </c>
      <c r="E5" s="3201">
        <v>61873</v>
      </c>
      <c r="F5" s="3201">
        <v>176820.8</v>
      </c>
      <c r="G5" s="3201" t="s">
        <v>3143</v>
      </c>
      <c r="H5" s="3201" t="s">
        <v>3144</v>
      </c>
      <c r="I5" s="3201" t="s">
        <v>3145</v>
      </c>
      <c r="J5" s="3201">
        <v>29680</v>
      </c>
      <c r="K5" s="3201">
        <v>319.79000000000002</v>
      </c>
      <c r="L5" s="3201">
        <v>1678.53</v>
      </c>
      <c r="M5" s="3201">
        <v>15.44</v>
      </c>
      <c r="N5" s="3201">
        <f>ROUND(J5/E5*10000,0)</f>
        <v>4797</v>
      </c>
    </row>
    <row r="6" spans="1:16">
      <c r="A6" s="3178" t="s">
        <v>3162</v>
      </c>
      <c r="B6" s="3178" t="s">
        <v>3140</v>
      </c>
      <c r="C6" s="3178" t="s">
        <v>3141</v>
      </c>
      <c r="D6" s="3178" t="s">
        <v>3163</v>
      </c>
      <c r="E6" s="3178">
        <v>6280</v>
      </c>
      <c r="F6" s="3178">
        <v>18840</v>
      </c>
      <c r="G6" s="3178" t="s">
        <v>3164</v>
      </c>
      <c r="H6" s="3178" t="s">
        <v>3165</v>
      </c>
      <c r="I6" s="3178" t="s">
        <v>3146</v>
      </c>
      <c r="J6" s="3178">
        <v>12830.04</v>
      </c>
      <c r="K6" s="3178">
        <v>1362</v>
      </c>
      <c r="L6" s="3178">
        <v>6810</v>
      </c>
      <c r="M6" s="3178">
        <v>240.5</v>
      </c>
      <c r="N6" s="3178">
        <f>ROUND(J6/E6*10000,0)</f>
        <v>20430</v>
      </c>
    </row>
    <row r="7" spans="1:16" ht="15" thickBot="1">
      <c r="E7" s="3317" t="s">
        <v>3003</v>
      </c>
      <c r="F7" s="3317"/>
      <c r="G7" s="3317"/>
      <c r="H7" s="3317"/>
      <c r="I7" s="3317"/>
      <c r="J7" s="3317"/>
      <c r="K7" s="3317"/>
      <c r="L7" s="3317" t="s">
        <v>3004</v>
      </c>
      <c r="M7" s="3317"/>
      <c r="N7" s="3317"/>
      <c r="O7" s="3317"/>
      <c r="P7" s="3317"/>
    </row>
    <row r="8" spans="1:16" ht="15" thickBot="1">
      <c r="B8" s="3188" t="s">
        <v>3005</v>
      </c>
      <c r="C8" s="3189" t="s">
        <v>3006</v>
      </c>
      <c r="D8" s="3189" t="s">
        <v>3007</v>
      </c>
      <c r="E8" s="3190" t="s">
        <v>3008</v>
      </c>
      <c r="F8" s="3191" t="s">
        <v>3169</v>
      </c>
      <c r="G8" s="3191" t="s">
        <v>3170</v>
      </c>
      <c r="H8" s="3191" t="s">
        <v>3172</v>
      </c>
      <c r="I8" s="3191" t="s">
        <v>3054</v>
      </c>
      <c r="J8" s="3191" t="s">
        <v>3026</v>
      </c>
      <c r="K8" s="3190" t="s">
        <v>3010</v>
      </c>
      <c r="L8" s="3192" t="s">
        <v>3011</v>
      </c>
      <c r="M8" s="3192" t="s">
        <v>3012</v>
      </c>
      <c r="N8" s="3193" t="s">
        <v>3061</v>
      </c>
      <c r="O8" s="3192" t="s">
        <v>3010</v>
      </c>
      <c r="P8" s="3193" t="s">
        <v>3026</v>
      </c>
    </row>
    <row r="9" spans="1:16">
      <c r="B9" s="3187">
        <v>1</v>
      </c>
      <c r="C9" s="3242" t="s">
        <v>3167</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3173</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 t="shared" ref="L10:L12" si="1">SUM(M10:P10)</f>
        <v>15659.75</v>
      </c>
      <c r="M10" s="3181"/>
      <c r="N10" s="3181">
        <f>15659.75-O10</f>
        <v>15659.75</v>
      </c>
      <c r="O10" s="3181"/>
      <c r="P10" s="3181"/>
    </row>
    <row r="11" spans="1:16">
      <c r="B11" s="3186">
        <v>3</v>
      </c>
      <c r="C11" s="3182" t="s">
        <v>3174</v>
      </c>
      <c r="D11" s="3179">
        <f t="shared" ref="D11:D12" si="2">SUM(E11,L11)</f>
        <v>102575.62</v>
      </c>
      <c r="E11" s="3180">
        <f t="shared" si="0"/>
        <v>84551.719999999987</v>
      </c>
      <c r="F11" s="3180">
        <v>80219.009999999995</v>
      </c>
      <c r="G11" s="3180"/>
      <c r="H11" s="3180">
        <v>2997.59</v>
      </c>
      <c r="I11" s="3180"/>
      <c r="J11" s="3180"/>
      <c r="K11" s="3180">
        <f>821.44+513.68</f>
        <v>1335.12</v>
      </c>
      <c r="L11" s="3181">
        <f t="shared" si="1"/>
        <v>18023.900000000001</v>
      </c>
      <c r="M11" s="3181"/>
      <c r="N11" s="3181">
        <v>18023.900000000001</v>
      </c>
      <c r="O11" s="3181"/>
      <c r="P11" s="3181"/>
    </row>
    <row r="12" spans="1:16">
      <c r="B12" s="3186">
        <v>4</v>
      </c>
      <c r="C12" s="3182" t="s">
        <v>3175</v>
      </c>
      <c r="D12" s="3179">
        <f t="shared" si="2"/>
        <v>7235.15</v>
      </c>
      <c r="E12" s="3180">
        <f t="shared" si="0"/>
        <v>7235.15</v>
      </c>
      <c r="F12" s="3180"/>
      <c r="G12" s="3180">
        <f>5673.12+529.24</f>
        <v>6202.36</v>
      </c>
      <c r="H12" s="3180"/>
      <c r="I12" s="3180"/>
      <c r="J12" s="3180"/>
      <c r="K12" s="3180">
        <v>1032.79</v>
      </c>
      <c r="L12" s="3181">
        <f t="shared" si="1"/>
        <v>0</v>
      </c>
      <c r="M12" s="3181"/>
      <c r="N12" s="3181"/>
      <c r="O12" s="3181"/>
      <c r="P12" s="3181"/>
    </row>
    <row r="13" spans="1:16" s="3199" customFormat="1" ht="14.25" customHeight="1" thickBot="1">
      <c r="B13" s="3194"/>
      <c r="C13" s="3195" t="s">
        <v>3067</v>
      </c>
      <c r="D13" s="3196">
        <f>SUM(D9:D12)</f>
        <v>211607.65</v>
      </c>
      <c r="E13" s="3197">
        <f>SUM(E9:E12)</f>
        <v>177923.99999999997</v>
      </c>
      <c r="F13" s="3197">
        <f t="shared" ref="F13:K13" si="3">SUM(F9:F12)</f>
        <v>153803.94</v>
      </c>
      <c r="G13" s="3197">
        <f t="shared" si="3"/>
        <v>13553.91</v>
      </c>
      <c r="H13" s="3197">
        <f t="shared" si="3"/>
        <v>6535.8</v>
      </c>
      <c r="I13" s="3197">
        <f t="shared" si="3"/>
        <v>0</v>
      </c>
      <c r="J13" s="3197">
        <f t="shared" si="3"/>
        <v>0</v>
      </c>
      <c r="K13" s="3197">
        <f t="shared" si="3"/>
        <v>4030.3499999999995</v>
      </c>
      <c r="L13" s="3198">
        <f>SUM(L9:L12)</f>
        <v>33683.65</v>
      </c>
      <c r="M13" s="3198">
        <f t="shared" ref="M13:P13" si="4">SUM(M9:M12)</f>
        <v>0</v>
      </c>
      <c r="N13" s="3198">
        <f t="shared" si="4"/>
        <v>33683.65</v>
      </c>
      <c r="O13" s="3198">
        <f t="shared" si="4"/>
        <v>0</v>
      </c>
      <c r="P13" s="3198">
        <f t="shared" si="4"/>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9" t="s">
        <v>3005</v>
      </c>
      <c r="C1" s="3319" t="s">
        <v>3006</v>
      </c>
      <c r="D1" s="3319" t="s">
        <v>3007</v>
      </c>
      <c r="E1" s="3318" t="s">
        <v>3003</v>
      </c>
      <c r="F1" s="3318"/>
      <c r="G1" s="3318"/>
      <c r="H1" s="3318"/>
      <c r="I1" s="3318"/>
      <c r="J1" s="3318"/>
      <c r="K1" s="3318"/>
      <c r="L1" s="3318" t="s">
        <v>3004</v>
      </c>
      <c r="M1" s="3318"/>
      <c r="N1" s="3318"/>
      <c r="O1" s="3318"/>
      <c r="P1" s="3318"/>
      <c r="Q1" s="3220"/>
    </row>
    <row r="2" spans="2:19">
      <c r="B2" s="3319"/>
      <c r="C2" s="3319"/>
      <c r="D2" s="3319"/>
      <c r="E2" s="3216" t="s">
        <v>3008</v>
      </c>
      <c r="F2" s="3216" t="s">
        <v>3009</v>
      </c>
      <c r="G2" s="3218" t="s">
        <v>3056</v>
      </c>
      <c r="H2" s="3218" t="s">
        <v>3054</v>
      </c>
      <c r="I2" s="3218" t="s">
        <v>3064</v>
      </c>
      <c r="J2" s="3218" t="s">
        <v>3026</v>
      </c>
      <c r="K2" s="3216" t="s">
        <v>3010</v>
      </c>
      <c r="L2" s="3216" t="s">
        <v>3011</v>
      </c>
      <c r="M2" s="3216" t="s">
        <v>3012</v>
      </c>
      <c r="N2" s="3218" t="s">
        <v>3061</v>
      </c>
      <c r="O2" s="3216" t="s">
        <v>3010</v>
      </c>
      <c r="P2" s="3218" t="s">
        <v>3026</v>
      </c>
      <c r="Q2" s="3218" t="s">
        <v>3027</v>
      </c>
      <c r="R2" s="3215" t="s">
        <v>3013</v>
      </c>
    </row>
    <row r="3" spans="2:19">
      <c r="B3" s="3221">
        <v>1</v>
      </c>
      <c r="C3" s="3216" t="s">
        <v>3014</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3015</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3016</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3017</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3018</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3019</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3020</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3021</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3022</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3023</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3024</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3025</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3028</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3029</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3030</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3031</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3032</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3033</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3034</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3035</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3036</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3037</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3038</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3053</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3055</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3057</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3058</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3059</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3060</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3062</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3069</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3039</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3040</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3041</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3042</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3043</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3044</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3045</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3046</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3047</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3048</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3049</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3050</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3051</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3052</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3063</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3065</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3066</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3062</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3068</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3067</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3001</v>
      </c>
      <c r="J9" s="51"/>
      <c r="K9" s="3037" t="s">
        <v>3001</v>
      </c>
      <c r="L9" s="51"/>
      <c r="M9" s="3037" t="s">
        <v>3001</v>
      </c>
      <c r="N9" s="51"/>
      <c r="O9" s="59" t="s">
        <v>3002</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2987</v>
      </c>
      <c r="J10" s="51"/>
      <c r="K10" s="3039" t="s">
        <v>2987</v>
      </c>
      <c r="L10" s="51"/>
      <c r="M10" s="3039" t="s">
        <v>2987</v>
      </c>
      <c r="N10" s="51"/>
      <c r="O10" s="66" t="s">
        <v>3071</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3168</v>
      </c>
      <c r="J11" s="71"/>
      <c r="K11" s="3038" t="s">
        <v>3070</v>
      </c>
      <c r="L11" s="71"/>
      <c r="M11" s="70" t="s">
        <v>3171</v>
      </c>
      <c r="N11" s="71"/>
      <c r="O11" s="70" t="s">
        <v>3071</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3153</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3154</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3155</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3156</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0" t="s">
        <v>0</v>
      </c>
      <c r="B1" s="3320" t="s">
        <v>4</v>
      </c>
      <c r="C1" s="3320" t="s">
        <v>5</v>
      </c>
      <c r="D1" s="3321" t="s">
        <v>40</v>
      </c>
      <c r="E1" s="3321" t="s">
        <v>41</v>
      </c>
      <c r="F1" s="3321"/>
      <c r="G1" s="3321"/>
      <c r="H1" s="3321"/>
      <c r="I1" s="3321"/>
      <c r="J1" s="3321"/>
      <c r="K1" s="3321"/>
      <c r="L1" s="3321"/>
      <c r="M1" s="3321"/>
    </row>
    <row r="2" spans="1:13" ht="27" customHeight="1">
      <c r="A2" s="3320"/>
      <c r="B2" s="3320"/>
      <c r="C2" s="3320"/>
      <c r="D2" s="3321"/>
      <c r="E2" s="3321" t="s">
        <v>24</v>
      </c>
      <c r="F2" s="3321" t="s">
        <v>25</v>
      </c>
      <c r="G2" s="3321"/>
      <c r="H2" s="3321"/>
      <c r="I2" s="3321"/>
      <c r="J2" s="3321" t="s">
        <v>26</v>
      </c>
      <c r="K2" s="3321"/>
      <c r="L2" s="3321"/>
      <c r="M2" s="3321"/>
    </row>
    <row r="3" spans="1:13" ht="28.5">
      <c r="A3" s="3320"/>
      <c r="B3" s="3320"/>
      <c r="C3" s="3320"/>
      <c r="D3" s="3321"/>
      <c r="E3" s="332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1" t="s">
        <v>42</v>
      </c>
      <c r="B9" s="3321"/>
      <c r="C9" s="332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22" sqref="G22"/>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1" t="s">
        <v>199</v>
      </c>
      <c r="B2" s="3331"/>
      <c r="C2" s="3331"/>
      <c r="D2" s="1971" t="s">
        <v>200</v>
      </c>
      <c r="E2" s="106" t="s">
        <v>201</v>
      </c>
      <c r="F2" s="1980"/>
      <c r="G2" s="1196"/>
      <c r="H2" s="1197"/>
      <c r="I2" s="1198" t="s">
        <v>853</v>
      </c>
      <c r="J2" s="1980"/>
      <c r="K2" s="1980"/>
      <c r="L2" s="1980"/>
    </row>
    <row r="3" spans="1:16" ht="15.75" thickBot="1">
      <c r="A3" s="3332" t="s">
        <v>202</v>
      </c>
      <c r="B3" s="3332"/>
      <c r="C3" s="3332"/>
      <c r="D3" s="107">
        <f>'数据-基础表'!AY6</f>
        <v>61873</v>
      </c>
      <c r="E3" s="107">
        <f>'数据-基础表'!AZ5</f>
        <v>211607.65</v>
      </c>
      <c r="F3" s="1980"/>
      <c r="G3" s="279" t="s">
        <v>854</v>
      </c>
      <c r="H3" s="274" t="s">
        <v>855</v>
      </c>
      <c r="I3" s="1972">
        <f>ROUND('数据-基础表'!B3/'数据-基础表'!A3,2)</f>
        <v>3.42</v>
      </c>
      <c r="J3" s="1980"/>
      <c r="K3" s="1980"/>
      <c r="L3" s="1980"/>
    </row>
    <row r="4" spans="1:16" ht="15">
      <c r="A4" s="3333"/>
      <c r="B4" s="3334"/>
      <c r="C4" s="3335"/>
      <c r="D4" s="108" t="s">
        <v>200</v>
      </c>
      <c r="E4" s="109" t="s">
        <v>201</v>
      </c>
      <c r="F4" s="1980"/>
      <c r="G4" s="1199"/>
      <c r="H4" s="274" t="s">
        <v>856</v>
      </c>
      <c r="I4" s="1972">
        <f>ROUND(SUMIF('数据-基础表'!I9:AS9,"地上",'数据-基础表'!I5:AS5)/'数据-基础表'!A3,2)</f>
        <v>2.88</v>
      </c>
      <c r="J4" s="1980"/>
      <c r="K4" s="1980"/>
      <c r="L4" s="1980"/>
    </row>
    <row r="5" spans="1:16">
      <c r="A5" s="110" t="s">
        <v>203</v>
      </c>
      <c r="B5" s="3336" t="s">
        <v>226</v>
      </c>
      <c r="C5" s="3336"/>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6" t="s">
        <v>204</v>
      </c>
      <c r="C6" s="3336"/>
      <c r="D6" s="111">
        <f>ROUND($D$3*E6/$E$3,2)</f>
        <v>61873</v>
      </c>
      <c r="E6" s="112">
        <f>E3-E5</f>
        <v>211607.65</v>
      </c>
      <c r="F6" s="1980"/>
      <c r="G6" s="1199"/>
      <c r="H6" s="274" t="s">
        <v>856</v>
      </c>
      <c r="I6" s="1972">
        <f>ROUND(F31/D31,2)</f>
        <v>2.88</v>
      </c>
      <c r="J6" s="1980"/>
      <c r="K6" s="1980"/>
      <c r="L6" s="1980"/>
    </row>
    <row r="7" spans="1:16" ht="15">
      <c r="A7" s="3328"/>
      <c r="B7" s="3329"/>
      <c r="C7" s="3330"/>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2" t="s">
        <v>2566</v>
      </c>
      <c r="L16" s="3323"/>
      <c r="M16" s="3323"/>
      <c r="N16" s="3323"/>
      <c r="O16" s="3323"/>
      <c r="P16" s="3324"/>
    </row>
    <row r="17" spans="1:19" ht="15">
      <c r="A17" s="121" t="s">
        <v>212</v>
      </c>
      <c r="B17" s="122" t="s">
        <v>213</v>
      </c>
      <c r="C17" s="2294" t="s">
        <v>2312</v>
      </c>
      <c r="D17" s="108" t="s">
        <v>200</v>
      </c>
      <c r="E17" s="124" t="s">
        <v>201</v>
      </c>
      <c r="F17" s="125"/>
      <c r="G17" s="1363"/>
      <c r="H17" s="968" t="s">
        <v>214</v>
      </c>
      <c r="I17" s="969" t="s">
        <v>2311</v>
      </c>
      <c r="J17" s="1980"/>
      <c r="K17" s="3325" t="s">
        <v>2567</v>
      </c>
      <c r="L17" s="3326"/>
      <c r="M17" s="3327"/>
      <c r="N17" s="3325" t="s">
        <v>2568</v>
      </c>
      <c r="O17" s="3326"/>
      <c r="P17" s="3327"/>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3208</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3176</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3177</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3178</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3206</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2987</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5.5E-2</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0.15</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2987</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3202</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2987</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3200</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2987</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3203</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2987</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5.5E-2</v>
      </c>
      <c r="J10" s="176">
        <v>0.08</v>
      </c>
      <c r="K10" s="179">
        <f>SUMIF('数据-汇总表'!C$19:C$33,'数据-取费表'!A10,'数据-汇总表'!E$19:E$33)</f>
        <v>23094</v>
      </c>
      <c r="L10" s="3233">
        <f>L6</f>
        <v>3500</v>
      </c>
      <c r="M10" s="177">
        <f t="shared" si="0"/>
        <v>8083</v>
      </c>
      <c r="N10" s="193">
        <f>N6</f>
        <v>0</v>
      </c>
      <c r="O10" s="177">
        <f t="shared" si="3"/>
        <v>0</v>
      </c>
      <c r="P10" s="178">
        <f t="shared" si="4"/>
        <v>8083</v>
      </c>
      <c r="Q10" s="192">
        <f>Q6</f>
        <v>0.15</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3274</v>
      </c>
      <c r="M16" s="205">
        <f>SUM(M6:M14)</f>
        <v>69287</v>
      </c>
      <c r="N16" s="206">
        <f>ROUND(SUMPRODUCT(M6:M14,N6:N14)/M16,3)</f>
        <v>0</v>
      </c>
      <c r="O16" s="205">
        <f>SUM(O6:O14)</f>
        <v>0</v>
      </c>
      <c r="P16" s="205">
        <f>SUM(P6:P14)</f>
        <v>69287</v>
      </c>
      <c r="Q16" s="207">
        <f>ROUND(SUMPRODUCT(Q6:Q13,K6:K13)/SUMPRODUCT((Q6:Q13&gt;0)*(K6:K13)),2)</f>
        <v>0.14000000000000001</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v>94.92</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v>94.92</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180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90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90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0.05</v>
      </c>
      <c r="C34" s="2361" t="s">
        <v>2895</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180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2905</v>
      </c>
      <c r="D53" s="3094"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2907</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2908</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2909</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2910</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2911</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2912</v>
      </c>
      <c r="B59" s="186">
        <v>5</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2916</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7" t="s">
        <v>1660</v>
      </c>
      <c r="B1" s="3338"/>
      <c r="C1" s="3338"/>
      <c r="D1" s="3338"/>
      <c r="E1" s="3338"/>
      <c r="F1" s="3338"/>
      <c r="G1" s="3338"/>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3179</v>
      </c>
      <c r="D3" s="2005"/>
      <c r="E3" s="1227" t="s">
        <v>1663</v>
      </c>
      <c r="F3" s="1228" t="s">
        <v>1651</v>
      </c>
      <c r="G3" s="3100" t="s">
        <v>2921</v>
      </c>
      <c r="H3" s="2004"/>
      <c r="I3" s="2004"/>
      <c r="J3" s="2004"/>
      <c r="K3" s="2004"/>
      <c r="L3" s="2004"/>
      <c r="M3" s="2004"/>
      <c r="N3" s="2004"/>
      <c r="O3" s="2004"/>
      <c r="P3" s="2004"/>
      <c r="Q3" s="2004"/>
      <c r="R3" s="2004"/>
    </row>
    <row r="4" spans="1:18" ht="67.5">
      <c r="A4" s="1227"/>
      <c r="B4" s="1229" t="s">
        <v>1664</v>
      </c>
      <c r="C4" s="3211" t="s">
        <v>3185</v>
      </c>
      <c r="D4" s="2005"/>
      <c r="E4" s="1230"/>
      <c r="F4" s="1231" t="s">
        <v>1665</v>
      </c>
      <c r="G4" s="3098" t="s">
        <v>2918</v>
      </c>
      <c r="H4" s="2004"/>
      <c r="I4" s="2004"/>
      <c r="J4" s="2004"/>
      <c r="K4" s="2004"/>
      <c r="L4" s="2004"/>
      <c r="M4" s="2004"/>
      <c r="N4" s="2004"/>
      <c r="O4" s="2004"/>
      <c r="P4" s="2004"/>
      <c r="Q4" s="2004"/>
      <c r="R4" s="2004"/>
    </row>
    <row r="5" spans="1:18" ht="27">
      <c r="A5" s="1227"/>
      <c r="B5" s="1229" t="s">
        <v>1666</v>
      </c>
      <c r="C5" s="3211"/>
      <c r="D5" s="2005"/>
      <c r="E5" s="1230"/>
      <c r="F5" s="1229" t="s">
        <v>2546</v>
      </c>
      <c r="G5" s="3098" t="s">
        <v>2919</v>
      </c>
      <c r="H5" s="2004"/>
      <c r="I5" s="2004"/>
      <c r="J5" s="2004"/>
      <c r="K5" s="2004"/>
      <c r="L5" s="2004"/>
      <c r="M5" s="2004"/>
      <c r="N5" s="2004"/>
      <c r="O5" s="2004"/>
      <c r="P5" s="2004"/>
      <c r="Q5" s="2004"/>
      <c r="R5" s="2004"/>
    </row>
    <row r="6" spans="1:18" ht="67.5">
      <c r="A6" s="1227"/>
      <c r="B6" s="1229" t="s">
        <v>1652</v>
      </c>
      <c r="C6" s="3208" t="s">
        <v>3212</v>
      </c>
      <c r="D6" s="2005"/>
      <c r="E6" s="1230"/>
      <c r="F6" s="1229" t="s">
        <v>2547</v>
      </c>
      <c r="G6" s="3098" t="s">
        <v>2917</v>
      </c>
      <c r="H6" s="2004"/>
      <c r="I6" s="2004"/>
      <c r="J6" s="2004"/>
      <c r="K6" s="2004"/>
      <c r="L6" s="2004"/>
      <c r="M6" s="2004"/>
      <c r="N6" s="2004"/>
      <c r="O6" s="2004"/>
      <c r="P6" s="2004"/>
      <c r="Q6" s="2004"/>
      <c r="R6" s="2004"/>
    </row>
    <row r="7" spans="1:18" ht="41.25" thickBot="1">
      <c r="A7" s="1227"/>
      <c r="B7" s="1229" t="s">
        <v>2546</v>
      </c>
      <c r="C7" s="3208" t="s">
        <v>3180</v>
      </c>
      <c r="D7" s="2006"/>
      <c r="E7" s="1232"/>
      <c r="F7" s="1233" t="s">
        <v>1667</v>
      </c>
      <c r="G7" s="3101" t="s">
        <v>2920</v>
      </c>
      <c r="H7" s="2004"/>
      <c r="I7" s="2004"/>
      <c r="J7" s="2004"/>
      <c r="K7" s="2004"/>
      <c r="L7" s="2004"/>
      <c r="M7" s="2004"/>
      <c r="N7" s="2004"/>
      <c r="O7" s="2004"/>
      <c r="P7" s="2004"/>
      <c r="Q7" s="2004"/>
      <c r="R7" s="2004"/>
    </row>
    <row r="8" spans="1:18" ht="27">
      <c r="A8" s="1227"/>
      <c r="B8" s="1229" t="s">
        <v>2547</v>
      </c>
      <c r="C8" s="3208" t="s">
        <v>3181</v>
      </c>
      <c r="D8" s="2006"/>
      <c r="E8" s="2006"/>
      <c r="F8" s="1549"/>
      <c r="G8" s="1549"/>
      <c r="H8" s="2004"/>
      <c r="I8" s="2004"/>
      <c r="J8" s="2004"/>
      <c r="K8" s="2004"/>
      <c r="L8" s="2004"/>
      <c r="M8" s="2004"/>
      <c r="N8" s="2004"/>
      <c r="O8" s="2004"/>
      <c r="P8" s="2004"/>
      <c r="Q8" s="2004"/>
      <c r="R8" s="2004"/>
    </row>
    <row r="9" spans="1:18" ht="54">
      <c r="A9" s="1227"/>
      <c r="B9" s="1229" t="s">
        <v>1653</v>
      </c>
      <c r="C9" s="3211" t="s">
        <v>3182</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3183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109501</v>
      </c>
      <c r="C5" s="3062">
        <f ca="1">ROUND(B5*10000/$B$1,0)</f>
        <v>5175</v>
      </c>
      <c r="D5" s="3062">
        <f ca="1">ROUND(B5*10000/$B$2,0)</f>
        <v>17698</v>
      </c>
      <c r="E5" s="3063"/>
      <c r="F5" s="3063"/>
    </row>
    <row r="6" spans="1:9" ht="16.5">
      <c r="A6" s="3062" t="s">
        <v>2852</v>
      </c>
      <c r="B6" s="3062">
        <f ca="1">SUM(G14:G23)</f>
        <v>109501</v>
      </c>
      <c r="C6" s="3062">
        <f t="shared" ref="C6:C8" ca="1" si="0">ROUND(B6*10000/$B$1,0)</f>
        <v>5175</v>
      </c>
      <c r="D6" s="3062">
        <f t="shared" ref="D6:D8" ca="1" si="1">ROUND(B6*10000/$B$2,0)</f>
        <v>17698</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109501</v>
      </c>
      <c r="E14" s="3066">
        <f ca="1">ROUND(D14*10000/B14,0)</f>
        <v>5175</v>
      </c>
      <c r="F14" s="3066">
        <f ca="1">ROUND(D14*10000/C14,0)</f>
        <v>17698</v>
      </c>
      <c r="G14" s="3066">
        <f ca="1">结果表!C44</f>
        <v>109501</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9" sqref="K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c r="E1" s="1801" t="s">
        <v>2056</v>
      </c>
      <c r="F1" s="1803"/>
      <c r="G1" s="310"/>
      <c r="H1" s="310"/>
      <c r="I1" s="310"/>
      <c r="J1" s="2025"/>
      <c r="K1" s="2025"/>
      <c r="L1" s="2025"/>
      <c r="M1" s="2025"/>
      <c r="N1" s="2025"/>
      <c r="O1" s="2025"/>
      <c r="P1" s="2025"/>
      <c r="Q1" s="2025"/>
      <c r="R1" s="2025"/>
      <c r="S1" s="2025"/>
      <c r="T1" s="2025"/>
      <c r="U1" s="2025"/>
      <c r="V1" s="2025"/>
    </row>
    <row r="2" spans="1:22" ht="21.75" customHeight="1" thickBot="1">
      <c r="A2" s="3384" t="str">
        <f>项目基本情况!K2</f>
        <v>房山区周口店镇02街区02-0001地块出让国有建设用地使用权</v>
      </c>
      <c r="B2" s="3385"/>
      <c r="C2" s="3386"/>
      <c r="D2" s="3386"/>
      <c r="E2" s="3386"/>
      <c r="F2" s="3386"/>
      <c r="G2" s="3385"/>
      <c r="H2" s="3385"/>
      <c r="I2" s="3387"/>
      <c r="J2" s="2026"/>
      <c r="K2" s="2025"/>
      <c r="L2" s="2025"/>
      <c r="M2" s="2025"/>
      <c r="N2" s="2025"/>
      <c r="O2" s="2025"/>
      <c r="P2" s="2025"/>
      <c r="Q2" s="2025"/>
      <c r="R2" s="2025"/>
      <c r="S2" s="2025"/>
      <c r="T2" s="2025"/>
      <c r="U2" s="2025"/>
      <c r="V2" s="2025"/>
    </row>
    <row r="3" spans="1:22" ht="14.25">
      <c r="A3" s="3395" t="s">
        <v>294</v>
      </c>
      <c r="B3" s="3396"/>
      <c r="C3" s="3396"/>
      <c r="D3" s="3396"/>
      <c r="E3" s="3396"/>
      <c r="F3" s="3396"/>
      <c r="G3" s="3396"/>
      <c r="H3" s="3396"/>
      <c r="I3" s="3396"/>
      <c r="J3" s="2026"/>
      <c r="K3" s="2025"/>
      <c r="L3" s="2025"/>
      <c r="M3" s="2025"/>
      <c r="N3" s="2025"/>
      <c r="O3" s="2025"/>
      <c r="P3" s="2025"/>
      <c r="Q3" s="2025"/>
      <c r="R3" s="2025"/>
      <c r="S3" s="2025"/>
      <c r="T3" s="2025"/>
      <c r="U3" s="2025"/>
      <c r="V3" s="2025"/>
    </row>
    <row r="4" spans="1:22" ht="14.25">
      <c r="A4" s="257" t="s">
        <v>295</v>
      </c>
      <c r="B4" s="258" t="s">
        <v>296</v>
      </c>
      <c r="C4" s="259" t="s">
        <v>3116</v>
      </c>
      <c r="D4" s="259" t="s">
        <v>3117</v>
      </c>
      <c r="E4" s="3359" t="s">
        <v>297</v>
      </c>
      <c r="F4" s="3401"/>
      <c r="G4" s="3401"/>
      <c r="H4" s="3401"/>
      <c r="I4" s="3360"/>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88" t="s">
        <v>298</v>
      </c>
      <c r="B5" s="3389">
        <v>25</v>
      </c>
      <c r="C5" s="3397"/>
      <c r="D5" s="3400"/>
      <c r="E5" s="260" t="s">
        <v>299</v>
      </c>
      <c r="F5" s="261"/>
      <c r="G5" s="261"/>
      <c r="H5" s="261"/>
      <c r="I5" s="262"/>
      <c r="J5" s="2026"/>
      <c r="K5" s="2025"/>
      <c r="L5" s="2025"/>
      <c r="M5" s="2025"/>
      <c r="N5" s="2025"/>
      <c r="O5" s="2025"/>
      <c r="P5" s="2025"/>
      <c r="Q5" s="2025"/>
      <c r="R5" s="2025"/>
      <c r="S5" s="2025"/>
      <c r="T5" s="2025"/>
      <c r="U5" s="2025"/>
      <c r="V5" s="2025"/>
    </row>
    <row r="6" spans="1:22" ht="14.25">
      <c r="A6" s="3388"/>
      <c r="B6" s="3389"/>
      <c r="C6" s="3398"/>
      <c r="D6" s="3400"/>
      <c r="E6" s="260" t="s">
        <v>300</v>
      </c>
      <c r="F6" s="261"/>
      <c r="G6" s="261"/>
      <c r="H6" s="261"/>
      <c r="I6" s="262"/>
      <c r="J6" s="2026"/>
      <c r="K6" s="2025"/>
      <c r="L6" s="2025"/>
      <c r="M6" s="2025"/>
      <c r="N6" s="2025"/>
      <c r="O6" s="2025"/>
      <c r="P6" s="2025"/>
      <c r="Q6" s="2025"/>
      <c r="R6" s="2025"/>
      <c r="S6" s="2025"/>
      <c r="T6" s="2025"/>
      <c r="U6" s="2025"/>
      <c r="V6" s="2025"/>
    </row>
    <row r="7" spans="1:22" ht="14.25">
      <c r="A7" s="3388"/>
      <c r="B7" s="3389"/>
      <c r="C7" s="3399"/>
      <c r="D7" s="3400"/>
      <c r="E7" s="260" t="s">
        <v>301</v>
      </c>
      <c r="F7" s="261"/>
      <c r="G7" s="261"/>
      <c r="H7" s="261"/>
      <c r="I7" s="262"/>
      <c r="J7" s="2026"/>
      <c r="K7" s="2025"/>
      <c r="L7" s="2025"/>
      <c r="M7" s="2025"/>
      <c r="N7" s="2025"/>
      <c r="O7" s="2025"/>
      <c r="P7" s="2025"/>
      <c r="Q7" s="2025"/>
      <c r="R7" s="2025"/>
      <c r="S7" s="2025"/>
      <c r="T7" s="2025"/>
      <c r="U7" s="2025"/>
      <c r="V7" s="2025"/>
    </row>
    <row r="8" spans="1:22" ht="14.25">
      <c r="A8" s="3388" t="s">
        <v>302</v>
      </c>
      <c r="B8" s="3389">
        <v>15</v>
      </c>
      <c r="C8" s="3397"/>
      <c r="D8" s="3400"/>
      <c r="E8" s="260" t="s">
        <v>303</v>
      </c>
      <c r="F8" s="261"/>
      <c r="G8" s="261"/>
      <c r="H8" s="261"/>
      <c r="I8" s="262"/>
      <c r="J8" s="2026"/>
      <c r="K8" s="2025"/>
      <c r="L8" s="2025"/>
      <c r="M8" s="2025"/>
      <c r="N8" s="2025"/>
      <c r="O8" s="2025"/>
      <c r="P8" s="2025"/>
      <c r="Q8" s="2025"/>
      <c r="R8" s="2025"/>
      <c r="S8" s="2025"/>
      <c r="T8" s="2025"/>
      <c r="U8" s="2025"/>
      <c r="V8" s="2025"/>
    </row>
    <row r="9" spans="1:22" ht="14.25">
      <c r="A9" s="3388"/>
      <c r="B9" s="3389"/>
      <c r="C9" s="3399"/>
      <c r="D9" s="3400"/>
      <c r="E9" s="260" t="s">
        <v>304</v>
      </c>
      <c r="F9" s="261"/>
      <c r="G9" s="261"/>
      <c r="H9" s="261"/>
      <c r="I9" s="262"/>
      <c r="J9" s="2026"/>
      <c r="K9" s="2025"/>
      <c r="L9" s="2025"/>
      <c r="M9" s="2025"/>
      <c r="N9" s="2025"/>
      <c r="O9" s="2025"/>
      <c r="P9" s="2025"/>
      <c r="Q9" s="2025"/>
      <c r="R9" s="2025"/>
      <c r="S9" s="2025"/>
      <c r="T9" s="2025"/>
      <c r="U9" s="2025"/>
      <c r="V9" s="2025"/>
    </row>
    <row r="10" spans="1:22" ht="14.25">
      <c r="A10" s="3388" t="s">
        <v>305</v>
      </c>
      <c r="B10" s="3389">
        <v>15</v>
      </c>
      <c r="C10" s="3397"/>
      <c r="D10" s="3400"/>
      <c r="E10" s="260" t="s">
        <v>306</v>
      </c>
      <c r="F10" s="261"/>
      <c r="G10" s="261"/>
      <c r="H10" s="261"/>
      <c r="I10" s="262"/>
      <c r="J10" s="2026"/>
      <c r="K10" s="2025"/>
      <c r="L10" s="2025"/>
      <c r="M10" s="2025"/>
      <c r="N10" s="2025"/>
      <c r="O10" s="2025"/>
      <c r="P10" s="2025"/>
      <c r="Q10" s="2025"/>
      <c r="R10" s="2025"/>
      <c r="S10" s="2025"/>
      <c r="T10" s="2025"/>
      <c r="U10" s="2025"/>
      <c r="V10" s="2025"/>
    </row>
    <row r="11" spans="1:22" ht="14.25">
      <c r="A11" s="3388"/>
      <c r="B11" s="3389"/>
      <c r="C11" s="3399"/>
      <c r="D11" s="3400"/>
      <c r="E11" s="260" t="s">
        <v>307</v>
      </c>
      <c r="F11" s="261"/>
      <c r="G11" s="261"/>
      <c r="H11" s="261"/>
      <c r="I11" s="262"/>
      <c r="J11" s="2026"/>
      <c r="K11" s="2025"/>
      <c r="L11" s="2025"/>
      <c r="M11" s="2025"/>
      <c r="N11" s="2025"/>
      <c r="O11" s="2025"/>
      <c r="P11" s="2025"/>
      <c r="Q11" s="2025"/>
      <c r="R11" s="2025"/>
      <c r="S11" s="2025"/>
      <c r="T11" s="2025"/>
      <c r="U11" s="2025"/>
      <c r="V11" s="2025"/>
    </row>
    <row r="12" spans="1:22" ht="14.25">
      <c r="A12" s="3388" t="s">
        <v>308</v>
      </c>
      <c r="B12" s="3389">
        <v>15</v>
      </c>
      <c r="C12" s="3397"/>
      <c r="D12" s="3400"/>
      <c r="E12" s="260" t="s">
        <v>309</v>
      </c>
      <c r="F12" s="261"/>
      <c r="G12" s="261"/>
      <c r="H12" s="261"/>
      <c r="I12" s="262"/>
      <c r="J12" s="2026"/>
      <c r="K12" s="2025"/>
      <c r="L12" s="2025"/>
      <c r="M12" s="2025"/>
      <c r="N12" s="2025"/>
      <c r="O12" s="2025"/>
      <c r="P12" s="2025"/>
      <c r="Q12" s="2025"/>
      <c r="R12" s="2025"/>
      <c r="S12" s="2025"/>
      <c r="T12" s="2025"/>
      <c r="U12" s="2025"/>
      <c r="V12" s="2025"/>
    </row>
    <row r="13" spans="1:22" ht="14.25">
      <c r="A13" s="3388"/>
      <c r="B13" s="3389"/>
      <c r="C13" s="3399"/>
      <c r="D13" s="3400"/>
      <c r="E13" s="260" t="s">
        <v>310</v>
      </c>
      <c r="F13" s="261"/>
      <c r="G13" s="261"/>
      <c r="H13" s="261"/>
      <c r="I13" s="262"/>
      <c r="J13" s="2026"/>
      <c r="K13" s="2025"/>
      <c r="L13" s="2025"/>
      <c r="M13" s="2025"/>
      <c r="N13" s="2025"/>
      <c r="O13" s="2025"/>
      <c r="P13" s="2025"/>
      <c r="Q13" s="2025"/>
      <c r="R13" s="2025"/>
      <c r="S13" s="2025"/>
      <c r="T13" s="2025"/>
      <c r="U13" s="2025"/>
      <c r="V13" s="2025"/>
    </row>
    <row r="14" spans="1:22" ht="14.25">
      <c r="A14" s="3388" t="s">
        <v>311</v>
      </c>
      <c r="B14" s="3389">
        <v>30</v>
      </c>
      <c r="C14" s="3397">
        <v>5</v>
      </c>
      <c r="D14" s="3400">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88"/>
      <c r="B15" s="3389"/>
      <c r="C15" s="3398"/>
      <c r="D15" s="3400"/>
      <c r="E15" s="260" t="s">
        <v>313</v>
      </c>
      <c r="F15" s="261"/>
      <c r="G15" s="261"/>
      <c r="H15" s="261"/>
      <c r="I15" s="262"/>
      <c r="J15" s="2026"/>
      <c r="K15" s="2025"/>
      <c r="L15" s="2025"/>
      <c r="M15" s="2025"/>
      <c r="N15" s="2025"/>
      <c r="O15" s="2025"/>
      <c r="P15" s="2025"/>
      <c r="Q15" s="2025"/>
      <c r="R15" s="2025"/>
      <c r="S15" s="2025"/>
      <c r="T15" s="2025"/>
      <c r="U15" s="2025"/>
      <c r="V15" s="2025"/>
    </row>
    <row r="16" spans="1:22" ht="14.25">
      <c r="A16" s="3388"/>
      <c r="B16" s="3389"/>
      <c r="C16" s="3399"/>
      <c r="D16" s="3400"/>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103390</v>
      </c>
      <c r="D19" s="270">
        <f ca="1">SUMIF(INDIRECT("'"&amp;D4&amp;"'"&amp;"!A:A"),结果表!B19,INDIRECT("'"&amp;D4&amp;"'"&amp;"!B:B"))</f>
        <v>115611</v>
      </c>
      <c r="E19" s="267" t="s">
        <v>319</v>
      </c>
      <c r="F19" s="268" t="s">
        <v>318</v>
      </c>
      <c r="G19" s="271">
        <f ca="1">ROUND(C19*$C$18+D19*$D$18,0)</f>
        <v>109501</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4886</v>
      </c>
      <c r="D20" s="276">
        <f ca="1">SUMIF(INDIRECT("'"&amp;D4&amp;"'"&amp;"!A:A"),结果表!B20,INDIRECT("'"&amp;D4&amp;"'"&amp;"!B:B"))</f>
        <v>5463</v>
      </c>
      <c r="E20" s="273"/>
      <c r="F20" s="274" t="s">
        <v>321</v>
      </c>
      <c r="G20" s="277">
        <f ca="1">ROUND(C20*$C$18+D20*$D$18,0)</f>
        <v>5175</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16710</v>
      </c>
      <c r="D21" s="151">
        <f ca="1">SUMIF(INDIRECT("'"&amp;D4&amp;"'"&amp;"!A:A"),结果表!B21,INDIRECT("'"&amp;D4&amp;"'"&amp;"!B:B"))</f>
        <v>18685</v>
      </c>
      <c r="E21" s="273"/>
      <c r="F21" s="279" t="s">
        <v>323</v>
      </c>
      <c r="G21" s="281">
        <f ca="1">ROUND(C21*$C$18+D21*$D$18,0)</f>
        <v>17698</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0.11820292097881802</v>
      </c>
      <c r="E22" s="283"/>
      <c r="F22" s="284"/>
      <c r="G22" s="285">
        <f ca="1">ROUND(G19/('数据-汇总表'!D3/666.67),0)</f>
        <v>1180</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1"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403"/>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出让国有建设用地使用权价格：109501万元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大写金额：人民币壹拾亿玖仟伍佰零壹万元整</v>
      </c>
      <c r="L26" s="1250"/>
      <c r="M26" s="1250"/>
      <c r="N26" s="1250"/>
      <c r="O26" s="1249"/>
      <c r="P26" s="2025"/>
      <c r="Q26" s="2025"/>
      <c r="R26" s="2025"/>
      <c r="S26" s="2025"/>
      <c r="T26" s="2025"/>
      <c r="U26" s="2025"/>
      <c r="V26" s="2025"/>
      <c r="W26" s="291"/>
      <c r="X26" s="291"/>
      <c r="Y26" s="291"/>
      <c r="Z26" s="291"/>
    </row>
    <row r="27" spans="1:26" ht="18">
      <c r="A27" s="292"/>
      <c r="B27" s="293"/>
      <c r="C27" s="293"/>
      <c r="D27" s="294">
        <f ca="1">G19/'数据-汇总表'!F31*10000</f>
        <v>6154.3692812661584</v>
      </c>
      <c r="E27" s="310"/>
      <c r="F27" s="310"/>
      <c r="G27" s="310"/>
      <c r="H27" s="310"/>
      <c r="I27" s="310"/>
      <c r="J27" s="2025"/>
      <c r="K27" s="1256" t="str">
        <f ca="1">"单位面积地价："&amp;M38&amp;"元/平方米"</f>
        <v>单位面积地价：17698元/平方米</v>
      </c>
      <c r="L27" s="1250"/>
      <c r="M27" s="1250"/>
      <c r="N27" s="1250"/>
      <c r="O27" s="1249"/>
      <c r="P27" s="2025"/>
      <c r="Q27" s="2025"/>
      <c r="R27" s="2025"/>
      <c r="S27" s="2025"/>
      <c r="T27" s="2025"/>
      <c r="U27" s="2025"/>
      <c r="V27" s="2025"/>
    </row>
    <row r="28" spans="1:26" ht="18.75" customHeight="1">
      <c r="A28" s="292"/>
      <c r="B28" s="293"/>
      <c r="C28" s="293"/>
      <c r="D28" s="294">
        <f ca="1">G19/'剩余法-待开发'!C6</f>
        <v>0.41375622990277761</v>
      </c>
      <c r="E28" s="310"/>
      <c r="F28" s="310"/>
      <c r="G28" s="310"/>
      <c r="H28" s="310"/>
      <c r="I28" s="310"/>
      <c r="J28" s="2025"/>
      <c r="K28" s="1256" t="str">
        <f ca="1">"楼面地价："&amp;N38&amp;"元/平方米"</f>
        <v>楼面地价：5175元/平方米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抵押价格：109501万元</v>
      </c>
      <c r="L29" s="1250"/>
      <c r="M29" s="1250"/>
      <c r="N29" s="1250"/>
      <c r="O29" s="1249"/>
      <c r="P29" s="2025"/>
      <c r="V29" s="2025"/>
    </row>
    <row r="30" spans="1:26" ht="18.75" thickBot="1">
      <c r="A30" s="3151" t="s">
        <v>332</v>
      </c>
      <c r="B30" s="308"/>
      <c r="C30" s="308"/>
      <c r="D30" s="309"/>
      <c r="E30" s="3152" t="s">
        <v>2969</v>
      </c>
      <c r="F30" s="310"/>
      <c r="G30" s="310"/>
      <c r="H30" s="310"/>
      <c r="I30" s="310"/>
      <c r="J30" s="2025"/>
      <c r="K30" s="1256" t="str">
        <f ca="1">IF(K29="——","——","大写金额：人民币"&amp;NUMBERSTRING(INT(O39*10000),2)&amp;"元整")</f>
        <v>大写金额：人民币壹拾亿玖仟伍佰零壹万元整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109501</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5175</v>
      </c>
      <c r="D33" s="1381" t="s">
        <v>1688</v>
      </c>
      <c r="E33" s="3361"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17698</v>
      </c>
      <c r="D34" s="1383" t="s">
        <v>1688</v>
      </c>
      <c r="E34" s="3362"/>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1180</v>
      </c>
      <c r="D35" s="1386" t="s">
        <v>1690</v>
      </c>
      <c r="E35" s="3363"/>
      <c r="F35" s="300" t="s">
        <v>338</v>
      </c>
      <c r="G35" s="980"/>
      <c r="H35" s="979" t="s">
        <v>339</v>
      </c>
      <c r="I35" s="310"/>
      <c r="J35" s="2025"/>
      <c r="K35" s="3367" t="s">
        <v>346</v>
      </c>
      <c r="L35" s="3367" t="s">
        <v>347</v>
      </c>
      <c r="M35" s="1262" t="s">
        <v>348</v>
      </c>
      <c r="N35" s="3367" t="s">
        <v>349</v>
      </c>
      <c r="O35" s="3367" t="s">
        <v>350</v>
      </c>
      <c r="P35" s="2025"/>
      <c r="V35" s="2025"/>
    </row>
    <row r="36" spans="1:26" ht="16.5" customHeight="1">
      <c r="A36" s="302" t="s">
        <v>340</v>
      </c>
      <c r="B36" s="303" t="s">
        <v>329</v>
      </c>
      <c r="C36" s="304" t="s">
        <v>341</v>
      </c>
      <c r="D36" s="304" t="s">
        <v>342</v>
      </c>
      <c r="E36" s="305" t="s">
        <v>343</v>
      </c>
      <c r="F36" s="310"/>
      <c r="G36" s="310"/>
      <c r="H36" s="310"/>
      <c r="I36" s="310"/>
      <c r="J36" s="2027"/>
      <c r="K36" s="3368"/>
      <c r="L36" s="3368"/>
      <c r="M36" s="1264" t="s">
        <v>351</v>
      </c>
      <c r="N36" s="3368"/>
      <c r="O36" s="3368"/>
      <c r="P36" s="2025"/>
      <c r="V36" s="2025"/>
    </row>
    <row r="37" spans="1:26" ht="16.5" customHeight="1" thickBot="1">
      <c r="A37" s="1258" t="s">
        <v>344</v>
      </c>
      <c r="B37" s="306">
        <f>'比较法-住宅、综合'!E64</f>
        <v>0</v>
      </c>
      <c r="C37" s="293">
        <f>12868*0.25*0.2</f>
        <v>643.40000000000009</v>
      </c>
      <c r="D37" s="3214">
        <v>3.0499999999999999E-2</v>
      </c>
      <c r="E37" s="294">
        <f>ROUND(B37*C37*(1+D37)/10000,0)</f>
        <v>0</v>
      </c>
      <c r="F37" s="310"/>
      <c r="G37" s="310"/>
      <c r="H37" s="310"/>
      <c r="I37" s="310"/>
      <c r="J37" s="2027"/>
      <c r="K37" s="3369"/>
      <c r="L37" s="3369"/>
      <c r="M37" s="1265"/>
      <c r="N37" s="3369"/>
      <c r="O37" s="3369"/>
      <c r="P37" s="2025"/>
      <c r="V37" s="2025"/>
    </row>
    <row r="38" spans="1:26" ht="16.5" customHeight="1" thickBot="1">
      <c r="A38" s="1258" t="s">
        <v>345</v>
      </c>
      <c r="B38" s="306">
        <f>'比较法-住宅、综合'!E65</f>
        <v>33683.65</v>
      </c>
      <c r="C38" s="293">
        <f>12868*0.25*0.15</f>
        <v>482.54999999999995</v>
      </c>
      <c r="D38" s="3214">
        <f>D37</f>
        <v>3.0499999999999999E-2</v>
      </c>
      <c r="E38" s="294">
        <f>ROUND(B38*C38*(1+D38)/10000,0)</f>
        <v>1675</v>
      </c>
      <c r="F38" s="310"/>
      <c r="G38" s="310"/>
      <c r="H38" s="310"/>
      <c r="I38" s="310"/>
      <c r="J38" s="2027"/>
      <c r="K38" s="1266">
        <f>'数据-汇总表'!D3</f>
        <v>61873</v>
      </c>
      <c r="L38" s="1267">
        <f>'数据-汇总表'!E3</f>
        <v>211607.65</v>
      </c>
      <c r="M38" s="1267">
        <f ca="1">C34</f>
        <v>17698</v>
      </c>
      <c r="N38" s="1267">
        <f ca="1">C33</f>
        <v>5175</v>
      </c>
      <c r="O38" s="1268">
        <f ca="1">C32</f>
        <v>109501</v>
      </c>
      <c r="P38" s="2025"/>
      <c r="V38" s="2025"/>
    </row>
    <row r="39" spans="1:26" ht="16.5" customHeight="1" thickBot="1">
      <c r="A39" s="1263"/>
      <c r="B39" s="307"/>
      <c r="C39" s="308"/>
      <c r="D39" s="308"/>
      <c r="E39" s="309">
        <f>E37+E38</f>
        <v>1675</v>
      </c>
      <c r="F39" s="310"/>
      <c r="G39" s="310"/>
      <c r="H39" s="310"/>
      <c r="I39" s="310"/>
      <c r="J39" s="2027"/>
      <c r="K39" s="3344" t="str">
        <f>MID(A44,3,LEN(A44)-2)</f>
        <v>抵押价格</v>
      </c>
      <c r="L39" s="3345"/>
      <c r="M39" s="3345"/>
      <c r="N39" s="3346"/>
      <c r="O39" s="1388">
        <f ca="1">C44</f>
        <v>109501</v>
      </c>
      <c r="P39" s="2025"/>
      <c r="V39" s="2025"/>
    </row>
    <row r="40" spans="1:26" ht="19.5" thickBot="1">
      <c r="A40" s="104" t="s">
        <v>869</v>
      </c>
      <c r="B40" s="310"/>
      <c r="C40" s="310"/>
      <c r="D40" s="310"/>
      <c r="E40" s="310"/>
      <c r="F40" s="310"/>
      <c r="G40" s="310"/>
      <c r="H40" s="310"/>
      <c r="I40" s="310"/>
      <c r="J40" s="2027"/>
      <c r="K40" s="3344" t="str">
        <f t="shared" ref="K40:K41" si="0">MID(A45,3,LEN(A45)-2)</f>
        <v/>
      </c>
      <c r="L40" s="3345"/>
      <c r="M40" s="3345"/>
      <c r="N40" s="3346"/>
      <c r="O40" s="1388" t="str">
        <f>C45</f>
        <v>——</v>
      </c>
      <c r="P40" s="2025"/>
      <c r="V40" s="2025"/>
    </row>
    <row r="41" spans="1:26" ht="16.5" thickBot="1">
      <c r="A41" s="311" t="s">
        <v>352</v>
      </c>
      <c r="B41" s="312"/>
      <c r="C41" s="313" t="s">
        <v>353</v>
      </c>
      <c r="D41" s="314" t="s">
        <v>354</v>
      </c>
      <c r="E41" s="314" t="s">
        <v>355</v>
      </c>
      <c r="F41" s="315" t="s">
        <v>356</v>
      </c>
      <c r="G41" s="310"/>
      <c r="H41" s="310"/>
      <c r="I41" s="310"/>
      <c r="J41" s="2027"/>
      <c r="K41" s="3344" t="str">
        <f t="shared" si="0"/>
        <v/>
      </c>
      <c r="L41" s="3345"/>
      <c r="M41" s="3345"/>
      <c r="N41" s="3346"/>
      <c r="O41" s="1388" t="str">
        <f>C46</f>
        <v>——</v>
      </c>
      <c r="P41" s="2025"/>
      <c r="V41" s="2025"/>
    </row>
    <row r="42" spans="1:26" ht="29.25">
      <c r="A42" s="3404" t="s">
        <v>2066</v>
      </c>
      <c r="B42" s="3405"/>
      <c r="C42" s="263">
        <f ca="1">C32</f>
        <v>109501</v>
      </c>
      <c r="D42" s="316">
        <f ca="1">C33</f>
        <v>5175</v>
      </c>
      <c r="E42" s="316">
        <f ca="1">C34</f>
        <v>17698</v>
      </c>
      <c r="F42" s="317">
        <f ca="1">C35</f>
        <v>1180</v>
      </c>
      <c r="G42" s="310"/>
      <c r="H42" s="310"/>
      <c r="I42" s="318"/>
      <c r="J42" s="2027"/>
      <c r="K42" s="1269" t="s">
        <v>357</v>
      </c>
      <c r="L42" s="2044" t="s">
        <v>358</v>
      </c>
      <c r="M42" s="1270" t="s">
        <v>359</v>
      </c>
      <c r="N42" s="2045" t="s">
        <v>360</v>
      </c>
      <c r="O42" s="2046" t="s">
        <v>361</v>
      </c>
      <c r="P42" s="2025"/>
      <c r="V42" s="2025"/>
    </row>
    <row r="43" spans="1:26" ht="30">
      <c r="A43" s="3414" t="s">
        <v>2730</v>
      </c>
      <c r="B43" s="3415"/>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103390</v>
      </c>
      <c r="M43" s="1273">
        <f>C18</f>
        <v>0.5</v>
      </c>
      <c r="N43" s="1274">
        <f ca="1">IF(N42="测算结果/万元",G19,G20)</f>
        <v>109501</v>
      </c>
      <c r="O43" s="1275">
        <f ca="1">IF(O42="最终结果/万元",C32,C33)</f>
        <v>109501</v>
      </c>
      <c r="P43" s="2025"/>
      <c r="V43" s="2025"/>
    </row>
    <row r="44" spans="1:26" ht="30.75" thickBot="1">
      <c r="A44" s="3404" t="str">
        <f>IF(OR(项目基本情况!E8="抵押价格",项目基本情况!E8="已注销及未注销"),"3.抵押价格","——")</f>
        <v>3.抵押价格</v>
      </c>
      <c r="B44" s="3405"/>
      <c r="C44" s="263">
        <f ca="1">IF(A44="——","——",C42-C43)</f>
        <v>109501</v>
      </c>
      <c r="D44" s="316">
        <f ca="1">ROUND(C44*10000/'数据-汇总表'!E3,0)</f>
        <v>5175</v>
      </c>
      <c r="E44" s="316">
        <f ca="1">ROUND(C44*10000/'数据-汇总表'!D3,0)</f>
        <v>17698</v>
      </c>
      <c r="F44" s="317">
        <f ca="1">ROUND(C44/('数据-汇总表'!D3/666.67),0)</f>
        <v>1180</v>
      </c>
      <c r="G44" s="310"/>
      <c r="H44" s="310"/>
      <c r="I44" s="318"/>
      <c r="J44" s="2027"/>
      <c r="K44" s="1276" t="str">
        <f>D4</f>
        <v>剩余法-待开发</v>
      </c>
      <c r="L44" s="1277">
        <f ca="1">IF(L42="估价结果/万元",D19,D20)</f>
        <v>115611</v>
      </c>
      <c r="M44" s="1278">
        <f>D18</f>
        <v>0.5</v>
      </c>
      <c r="N44" s="1279"/>
      <c r="O44" s="1280"/>
      <c r="P44" s="2025"/>
      <c r="V44" s="2025"/>
    </row>
    <row r="45" spans="1:26" ht="15">
      <c r="A45" s="3409" t="str">
        <f>IF(项目基本情况!E8="已注销及未注销","4.抵押担保权已注销时的抵押价格",IF(项目基本情况!E8="已注销","3.抵押担保权已注销时的抵押价格","——"))</f>
        <v>——</v>
      </c>
      <c r="B45" s="3410"/>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406" t="str">
        <f>IF(项目基本情况!E9="抵押净值",IF(A45="——","4.抵押净值","5.抵押净值"),"——")</f>
        <v>——</v>
      </c>
      <c r="B46" s="3407"/>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160346</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2" t="s">
        <v>370</v>
      </c>
      <c r="B63" s="3373"/>
      <c r="C63" s="3374"/>
      <c r="D63" s="340">
        <f ca="1">ROUND(C42*F63,0)</f>
        <v>65701</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411" t="s">
        <v>374</v>
      </c>
      <c r="B64" s="3412"/>
      <c r="C64" s="3412"/>
      <c r="D64" s="3412"/>
      <c r="E64" s="3412"/>
      <c r="F64" s="3412"/>
      <c r="G64" s="3413"/>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408" t="s">
        <v>382</v>
      </c>
      <c r="B66" s="3379"/>
      <c r="C66" s="3379"/>
      <c r="D66" s="260">
        <f ca="1">IF(H66="情况1",0,IF(H66="情况2",D70,IF(H66="情况3",D71,IF(H66="情况4",D72))))</f>
        <v>3504</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48" t="s">
        <v>381</v>
      </c>
      <c r="M66" s="3349"/>
      <c r="N66" s="2479"/>
      <c r="O66" s="2480"/>
      <c r="P66" s="2481"/>
      <c r="Q66" s="2025"/>
      <c r="R66" s="2025"/>
      <c r="S66" s="2025"/>
      <c r="T66" s="2025"/>
      <c r="U66" s="2025"/>
      <c r="V66" s="2025"/>
    </row>
    <row r="67" spans="1:22" ht="25.5" customHeight="1">
      <c r="A67" s="351" t="s">
        <v>386</v>
      </c>
      <c r="B67" s="3391" t="s">
        <v>387</v>
      </c>
      <c r="C67" s="3391"/>
      <c r="D67" s="352">
        <v>0</v>
      </c>
      <c r="E67" s="41" t="s">
        <v>388</v>
      </c>
      <c r="F67" s="62" t="s">
        <v>21</v>
      </c>
      <c r="G67" s="3375"/>
      <c r="H67" s="310"/>
      <c r="I67" s="1290"/>
      <c r="J67" s="2032"/>
      <c r="K67" s="1973">
        <v>2</v>
      </c>
      <c r="L67" s="3347" t="s">
        <v>385</v>
      </c>
      <c r="M67" s="3347"/>
      <c r="N67" s="1323">
        <f>'数据-取费表'!B2</f>
        <v>43241</v>
      </c>
      <c r="O67" s="1323"/>
      <c r="P67" s="1323"/>
      <c r="Q67" s="2025"/>
      <c r="R67" s="2025"/>
      <c r="S67" s="2025"/>
      <c r="T67" s="2025"/>
      <c r="U67" s="2025"/>
      <c r="V67" s="2025"/>
    </row>
    <row r="68" spans="1:22" ht="25.5" customHeight="1">
      <c r="A68" s="353"/>
      <c r="B68" s="3391" t="s">
        <v>390</v>
      </c>
      <c r="C68" s="3391"/>
      <c r="D68" s="354"/>
      <c r="E68" s="77"/>
      <c r="F68" s="355"/>
      <c r="G68" s="3376"/>
      <c r="H68" s="310"/>
      <c r="I68" s="1290"/>
      <c r="J68" s="2032"/>
      <c r="K68" s="1973">
        <v>3</v>
      </c>
      <c r="L68" s="3347" t="s">
        <v>389</v>
      </c>
      <c r="M68" s="3347"/>
      <c r="N68" s="1291">
        <f ca="1">C42</f>
        <v>109501</v>
      </c>
      <c r="O68" s="1291"/>
      <c r="P68" s="1291"/>
      <c r="Q68" s="2025"/>
      <c r="R68" s="2025"/>
      <c r="S68" s="2025"/>
      <c r="T68" s="2025"/>
      <c r="U68" s="2025"/>
      <c r="V68" s="2025"/>
    </row>
    <row r="69" spans="1:22" ht="12" customHeight="1">
      <c r="A69" s="356"/>
      <c r="B69" s="3391" t="s">
        <v>391</v>
      </c>
      <c r="C69" s="3391"/>
      <c r="D69" s="357"/>
      <c r="E69" s="73"/>
      <c r="F69" s="355"/>
      <c r="G69" s="3377"/>
      <c r="H69" s="310"/>
      <c r="I69" s="1290"/>
      <c r="J69" s="2032"/>
      <c r="K69" s="1292">
        <v>4</v>
      </c>
      <c r="L69" s="3353" t="s">
        <v>2883</v>
      </c>
      <c r="M69" s="3354"/>
      <c r="N69" s="1293">
        <f ca="1">C44</f>
        <v>109501</v>
      </c>
      <c r="O69" s="1293"/>
      <c r="P69" s="1293"/>
      <c r="Q69" s="2025"/>
      <c r="R69" s="2025"/>
      <c r="S69" s="2025"/>
      <c r="T69" s="2025"/>
      <c r="U69" s="2025"/>
      <c r="V69" s="2025"/>
    </row>
    <row r="70" spans="1:22" ht="24" customHeight="1">
      <c r="A70" s="358" t="s">
        <v>392</v>
      </c>
      <c r="B70" s="3391" t="s">
        <v>393</v>
      </c>
      <c r="C70" s="3391"/>
      <c r="D70" s="357">
        <f ca="1">ROUND(D63*'数据-取费表'!B41/(1+'数据-取费表'!C42),0)</f>
        <v>3504</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90" t="s">
        <v>401</v>
      </c>
      <c r="C71" s="3402"/>
      <c r="D71" s="357">
        <f ca="1">ROUND(D63*'数据-取费表'!B41/(1+'数据-取费表'!C42),0)</f>
        <v>3504</v>
      </c>
      <c r="E71" s="17" t="s">
        <v>394</v>
      </c>
      <c r="F71" s="359">
        <f>'数据-取费表'!B41</f>
        <v>5.6000000000000001E-2</v>
      </c>
      <c r="G71" s="360"/>
      <c r="H71" s="310"/>
      <c r="I71" s="1290"/>
      <c r="J71" s="2032"/>
      <c r="K71" s="3078" t="s">
        <v>395</v>
      </c>
      <c r="L71" s="3355" t="s">
        <v>396</v>
      </c>
      <c r="M71" s="3355"/>
      <c r="N71" s="3078" t="s">
        <v>397</v>
      </c>
      <c r="O71" s="3078" t="s">
        <v>398</v>
      </c>
      <c r="P71" s="3078" t="s">
        <v>399</v>
      </c>
      <c r="Q71" s="2025"/>
      <c r="R71" s="2025"/>
      <c r="S71" s="2025"/>
      <c r="T71" s="2025"/>
      <c r="U71" s="2025"/>
      <c r="V71" s="2025"/>
    </row>
    <row r="72" spans="1:22" ht="12" customHeight="1">
      <c r="A72" s="358" t="s">
        <v>403</v>
      </c>
      <c r="B72" s="3390" t="s">
        <v>404</v>
      </c>
      <c r="C72" s="3402"/>
      <c r="D72" s="357">
        <f ca="1">C86</f>
        <v>3392</v>
      </c>
      <c r="E72" s="73" t="s">
        <v>405</v>
      </c>
      <c r="F72" s="359">
        <f>'数据-取费表'!B41</f>
        <v>5.6000000000000001E-2</v>
      </c>
      <c r="G72" s="360"/>
      <c r="H72" s="1296"/>
      <c r="I72" s="1290"/>
      <c r="J72" s="2032"/>
      <c r="K72" s="1973">
        <v>1</v>
      </c>
      <c r="L72" s="3352" t="s">
        <v>402</v>
      </c>
      <c r="M72" s="3352"/>
      <c r="N72" s="1294">
        <f ca="1">D66</f>
        <v>3504</v>
      </c>
      <c r="O72" s="1856" t="str">
        <f>E66</f>
        <v>销售额×税（费）率</v>
      </c>
      <c r="P72" s="1295">
        <f>F66</f>
        <v>5.6000000000000001E-2</v>
      </c>
      <c r="Q72" s="2025"/>
      <c r="R72" s="2025"/>
      <c r="S72" s="2025"/>
      <c r="T72" s="2025"/>
      <c r="U72" s="2025"/>
      <c r="V72" s="2025"/>
    </row>
    <row r="73" spans="1:22" ht="24" customHeight="1">
      <c r="A73" s="3378" t="s">
        <v>407</v>
      </c>
      <c r="B73" s="3379"/>
      <c r="C73" s="3379"/>
      <c r="D73" s="361">
        <f>IF(H73="个人住宅",0,ROUND(D63*I73,0))</f>
        <v>0</v>
      </c>
      <c r="E73" s="17" t="s">
        <v>408</v>
      </c>
      <c r="F73" s="359" t="str">
        <f>IF(H73="正常",I73,"免征")</f>
        <v>免征</v>
      </c>
      <c r="G73" s="360"/>
      <c r="H73" s="191" t="s">
        <v>2455</v>
      </c>
      <c r="I73" s="359">
        <f>'数据-取费表'!B49</f>
        <v>5.0000000000000001E-4</v>
      </c>
      <c r="J73" s="2032"/>
      <c r="K73" s="1973">
        <v>2</v>
      </c>
      <c r="L73" s="3352" t="s">
        <v>406</v>
      </c>
      <c r="M73" s="3352"/>
      <c r="N73" s="1294">
        <f t="shared" ref="N73:P74" si="1">D73</f>
        <v>0</v>
      </c>
      <c r="O73" s="1856" t="str">
        <f t="shared" si="1"/>
        <v>销售额×税（费）率</v>
      </c>
      <c r="P73" s="1295" t="str">
        <f t="shared" si="1"/>
        <v>免征</v>
      </c>
      <c r="Q73" s="2025"/>
      <c r="R73" s="2025"/>
      <c r="S73" s="2025"/>
      <c r="T73" s="2025"/>
      <c r="U73" s="2025"/>
      <c r="V73" s="2025"/>
    </row>
    <row r="74" spans="1:22" ht="24.75">
      <c r="A74" s="3378" t="s">
        <v>411</v>
      </c>
      <c r="B74" s="3379"/>
      <c r="C74" s="3379"/>
      <c r="D74" s="361">
        <f ca="1">IF(H74="个人住宅",D75,D76)</f>
        <v>36531</v>
      </c>
      <c r="E74" s="17" t="s">
        <v>412</v>
      </c>
      <c r="F74" s="359" t="str">
        <f>IF(H74="正常",F76,"免征")</f>
        <v>——</v>
      </c>
      <c r="G74" s="981" t="s">
        <v>413</v>
      </c>
      <c r="H74" s="362" t="s">
        <v>409</v>
      </c>
      <c r="I74" s="42"/>
      <c r="J74" s="2032"/>
      <c r="K74" s="1973">
        <v>3</v>
      </c>
      <c r="L74" s="3352" t="s">
        <v>410</v>
      </c>
      <c r="M74" s="3352"/>
      <c r="N74" s="1294">
        <f t="shared" ca="1" si="1"/>
        <v>36531</v>
      </c>
      <c r="O74" s="1856" t="str">
        <f t="shared" si="1"/>
        <v>增值额×税（费）率</v>
      </c>
      <c r="P74" s="1297" t="str">
        <f t="shared" si="1"/>
        <v>——</v>
      </c>
      <c r="Q74" s="2025"/>
      <c r="R74" s="2025"/>
      <c r="S74" s="2025"/>
      <c r="T74" s="2025"/>
      <c r="U74" s="2025"/>
      <c r="V74" s="2025"/>
    </row>
    <row r="75" spans="1:22" ht="24">
      <c r="A75" s="358" t="s">
        <v>414</v>
      </c>
      <c r="B75" s="3359" t="s">
        <v>415</v>
      </c>
      <c r="C75" s="3360"/>
      <c r="D75" s="363">
        <v>0</v>
      </c>
      <c r="E75" s="41" t="s">
        <v>416</v>
      </c>
      <c r="F75" s="364"/>
      <c r="G75" s="360"/>
      <c r="H75" s="42"/>
      <c r="I75" s="42"/>
      <c r="J75" s="2032"/>
      <c r="K75" s="3071">
        <f>IF(H77="非个人房产","",4)</f>
        <v>4</v>
      </c>
      <c r="L75" s="3352" t="str">
        <f>IF(H77="非个人房产","——","个人所得税")</f>
        <v>个人所得税</v>
      </c>
      <c r="M75" s="3352"/>
      <c r="N75" s="1298">
        <f ca="1">D77</f>
        <v>657</v>
      </c>
      <c r="O75" s="1869" t="str">
        <f>E77</f>
        <v>销售额×税（费）率</v>
      </c>
      <c r="P75" s="1299">
        <f>F77</f>
        <v>0.01</v>
      </c>
      <c r="Q75" s="2025"/>
      <c r="R75" s="2025"/>
      <c r="S75" s="2025"/>
      <c r="T75" s="2025"/>
      <c r="U75" s="2025"/>
      <c r="V75" s="2025"/>
    </row>
    <row r="76" spans="1:22" ht="24.75">
      <c r="A76" s="358" t="s">
        <v>392</v>
      </c>
      <c r="B76" s="3359" t="s">
        <v>418</v>
      </c>
      <c r="C76" s="3401"/>
      <c r="D76" s="361">
        <f ca="1">IF(H76="转让取得",C99,C115)</f>
        <v>36531</v>
      </c>
      <c r="E76" s="17" t="s">
        <v>419</v>
      </c>
      <c r="F76" s="53" t="s">
        <v>21</v>
      </c>
      <c r="G76" s="360"/>
      <c r="H76" s="362" t="s">
        <v>420</v>
      </c>
      <c r="I76" s="42"/>
      <c r="J76" s="2032"/>
      <c r="K76" s="3071" t="str">
        <f>IF(项目基本情况!K6="上海银行",IF(K75="",4,K75+1),"")</f>
        <v/>
      </c>
      <c r="L76" s="3340" t="str">
        <f>IF(项目基本情况!K6="上海银行","其他处置费用","")</f>
        <v/>
      </c>
      <c r="M76" s="3341"/>
      <c r="N76" s="1294" t="str">
        <f>IF(项目基本情况!K6="上海银行",N89,"")</f>
        <v/>
      </c>
      <c r="O76" s="3342" t="str">
        <f>IF(项目基本情况!K6="上海银行","包含处置中涉及的律师、诉讼、拍卖、评估等费用","")</f>
        <v/>
      </c>
      <c r="P76" s="3343"/>
      <c r="Q76" s="2025"/>
      <c r="R76" s="2025"/>
      <c r="S76" s="2025"/>
      <c r="T76" s="2025"/>
      <c r="U76" s="2025"/>
      <c r="V76" s="2025"/>
    </row>
    <row r="77" spans="1:22" ht="26.25" thickBot="1">
      <c r="A77" s="3370" t="s">
        <v>422</v>
      </c>
      <c r="B77" s="3371"/>
      <c r="C77" s="3371"/>
      <c r="D77" s="365">
        <f ca="1">IF(H77="非个人房产","——",IF(H77="个人住宅",0,ROUND(D63*I77,0)))</f>
        <v>657</v>
      </c>
      <c r="E77" s="366" t="str">
        <f>IF(H77="非个人房产","——","销售额×税（费）率")</f>
        <v>销售额×税（费）率</v>
      </c>
      <c r="F77" s="367">
        <f>IF(H77="非个人房产","——",IF(H77="个人住宅","免征",I77))</f>
        <v>0.01</v>
      </c>
      <c r="G77" s="982" t="s">
        <v>413</v>
      </c>
      <c r="H77" s="362" t="s">
        <v>2884</v>
      </c>
      <c r="I77" s="368">
        <v>0.01</v>
      </c>
      <c r="J77" s="2032"/>
      <c r="K77" s="3366">
        <f>IF(AND(K75="",K76=""),4,IF(项目基本情况!K6="上海银行",K76+1,K75+1))</f>
        <v>5</v>
      </c>
      <c r="L77" s="3352" t="s">
        <v>2885</v>
      </c>
      <c r="M77" s="3077" t="s">
        <v>417</v>
      </c>
      <c r="N77" s="1300"/>
      <c r="O77" s="1301">
        <f ca="1">SUMIF(N72:N76,"&lt;9e307")</f>
        <v>40692</v>
      </c>
      <c r="P77" s="1302"/>
      <c r="Q77" s="3075">
        <f ca="1">O77/N69</f>
        <v>0.37161304462972938</v>
      </c>
      <c r="R77" s="2025"/>
      <c r="S77" s="2025"/>
      <c r="T77" s="2025"/>
      <c r="U77" s="2025"/>
      <c r="V77" s="2025"/>
    </row>
    <row r="78" spans="1:22" ht="12" customHeight="1">
      <c r="A78" s="1303"/>
      <c r="B78" s="310"/>
      <c r="C78" s="310"/>
      <c r="D78" s="310"/>
      <c r="E78" s="42"/>
      <c r="F78" s="42"/>
      <c r="G78" s="42"/>
      <c r="H78" s="1001"/>
      <c r="I78" s="310"/>
      <c r="J78" s="2032"/>
      <c r="K78" s="3366"/>
      <c r="L78" s="3352"/>
      <c r="M78" s="3077" t="s">
        <v>421</v>
      </c>
      <c r="N78" s="1300"/>
      <c r="O78" s="1301" t="str">
        <f ca="1">NUMBERSTRING(INT(O77*10000),2)&amp;"元整"</f>
        <v>肆亿零陆佰玖拾贰万元整</v>
      </c>
      <c r="P78" s="1302"/>
      <c r="Q78" s="2025"/>
      <c r="R78" s="2025"/>
      <c r="S78" s="2025"/>
      <c r="T78" s="2025"/>
      <c r="U78" s="2025"/>
      <c r="V78" s="2025"/>
    </row>
    <row r="79" spans="1:22" ht="13.5" thickBot="1">
      <c r="A79" s="3356" t="s">
        <v>423</v>
      </c>
      <c r="B79" s="3356"/>
      <c r="C79" s="3356"/>
      <c r="D79" s="3356"/>
      <c r="E79" s="3356"/>
      <c r="F79" s="42"/>
      <c r="G79" s="42"/>
      <c r="H79" s="1001"/>
      <c r="I79" s="310"/>
      <c r="J79" s="2032"/>
      <c r="K79" s="3350">
        <f>K77+1</f>
        <v>6</v>
      </c>
      <c r="L79" s="3352" t="s">
        <v>2886</v>
      </c>
      <c r="M79" s="3077" t="s">
        <v>417</v>
      </c>
      <c r="N79" s="1300"/>
      <c r="O79" s="1301">
        <f ca="1">N69-O77</f>
        <v>68809</v>
      </c>
      <c r="P79" s="1302"/>
      <c r="Q79" s="2025"/>
      <c r="R79" s="2025"/>
      <c r="S79" s="2025"/>
      <c r="T79" s="2025"/>
      <c r="U79" s="2025"/>
      <c r="V79" s="2025"/>
    </row>
    <row r="80" spans="1:22" ht="25.5">
      <c r="A80" s="3357" t="s">
        <v>424</v>
      </c>
      <c r="B80" s="3358"/>
      <c r="C80" s="992"/>
      <c r="D80" s="992" t="s">
        <v>425</v>
      </c>
      <c r="E80" s="369" t="s">
        <v>426</v>
      </c>
      <c r="F80" s="42"/>
      <c r="G80" s="42"/>
      <c r="H80" s="1001"/>
      <c r="I80" s="310"/>
      <c r="J80" s="2025"/>
      <c r="K80" s="3351"/>
      <c r="L80" s="3352"/>
      <c r="M80" s="3077" t="s">
        <v>421</v>
      </c>
      <c r="N80" s="1300"/>
      <c r="O80" s="1301" t="str">
        <f ca="1">NUMBERSTRING(INT(O79*10000),2)&amp;"元整"</f>
        <v>陆亿捌仟捌佰零玖万元整</v>
      </c>
      <c r="P80" s="1302"/>
      <c r="Q80" s="2025"/>
      <c r="R80" s="2025"/>
      <c r="S80" s="2025"/>
      <c r="T80" s="2025"/>
      <c r="U80" s="2025"/>
      <c r="V80" s="2025"/>
    </row>
    <row r="81" spans="1:26" ht="13.5" thickBot="1">
      <c r="A81" s="380" t="s">
        <v>1820</v>
      </c>
      <c r="B81" s="370" t="s">
        <v>427</v>
      </c>
      <c r="C81" s="371">
        <f ca="1">ROUND((C82+C83)/(1+'数据-取费表'!C42),0)</f>
        <v>62572</v>
      </c>
      <c r="D81" s="372"/>
      <c r="E81" s="373"/>
      <c r="F81" s="42"/>
      <c r="G81" s="42"/>
      <c r="H81" s="1001"/>
      <c r="I81" s="310"/>
      <c r="J81" s="2025"/>
      <c r="K81" s="3071">
        <f>K79+1</f>
        <v>7</v>
      </c>
      <c r="L81" s="3364" t="s">
        <v>2887</v>
      </c>
      <c r="M81" s="3365"/>
      <c r="N81" s="1304"/>
      <c r="O81" s="1305">
        <f ca="1">ROUND(O79*10000/'数据-汇总表'!E3,0)</f>
        <v>3252</v>
      </c>
      <c r="P81" s="1306"/>
      <c r="Q81" s="2025"/>
      <c r="R81" s="2025"/>
      <c r="S81" s="2025"/>
      <c r="T81" s="2025"/>
      <c r="U81" s="2025"/>
      <c r="V81" s="2025"/>
    </row>
    <row r="82" spans="1:26" ht="13.5" thickTop="1">
      <c r="A82" s="374" t="s">
        <v>1821</v>
      </c>
      <c r="B82" s="375" t="s">
        <v>428</v>
      </c>
      <c r="C82" s="376">
        <f ca="1">D63</f>
        <v>65701</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39" t="s">
        <v>2874</v>
      </c>
      <c r="L83" s="3083" t="s">
        <v>2875</v>
      </c>
      <c r="M83" s="3073">
        <f ca="1">IF(N69&gt;10000,N69*0.5%,IF(AND(N69&gt;1000,N69&lt;=10000),N69*1%,IF(AND(N69&gt;100,N69&lt;=1000),N69*3%,IF(AND(N69&gt;10,N69&lt;=100),N69*5%,N69*8%))))</f>
        <v>547.505</v>
      </c>
      <c r="N83" s="53">
        <f ca="1">ROUND(M83,1)</f>
        <v>547.5</v>
      </c>
      <c r="O83" s="3076"/>
      <c r="P83" s="2025"/>
      <c r="Q83" s="2025"/>
      <c r="R83" s="2025"/>
      <c r="S83" s="2025"/>
      <c r="T83" s="2025"/>
      <c r="U83" s="2025"/>
      <c r="V83" s="2025"/>
    </row>
    <row r="84" spans="1:26" ht="12.75">
      <c r="A84" s="380" t="s">
        <v>1823</v>
      </c>
      <c r="B84" s="381" t="s">
        <v>430</v>
      </c>
      <c r="C84" s="382">
        <v>2000</v>
      </c>
      <c r="D84" s="383" t="s">
        <v>19</v>
      </c>
      <c r="E84" s="3116" t="s">
        <v>2940</v>
      </c>
      <c r="F84" s="42"/>
      <c r="G84" s="42"/>
      <c r="H84" s="1001"/>
      <c r="I84" s="310"/>
      <c r="J84" s="2025"/>
      <c r="K84" s="3339"/>
      <c r="L84" s="3083" t="s">
        <v>2876</v>
      </c>
      <c r="M84" s="3073">
        <f ca="1">IF(N69&gt;2000,N69*0.5%,IF(AND(N69&gt;1000,N69&lt;=2000),N69*0.6%,IF(AND(N69&gt;500,N69&lt;=1000),N69*0.7%,IF(AND(N69&gt;200,N69&lt;=500),N69*0.8%,IF(AND(N69&gt;100,N69&lt;=200),N69*0.9%,IF(AND(N69&gt;50,N69&lt;=100),N69*1%,IF(AND(N69&gt;20,N69&lt;=50),N69*1.5%,IF(AND(N69&gt;10,N69&lt;=20),N69*2%,IF(AND(N69&gt;1,N69&lt;=10),N69*2.5%)))))))))</f>
        <v>547.505</v>
      </c>
      <c r="N84" s="53">
        <f t="shared" ref="N84:N85" ca="1" si="2">ROUND(M84,1)</f>
        <v>547.5</v>
      </c>
      <c r="O84" s="2025" t="s">
        <v>2877</v>
      </c>
      <c r="P84" s="2025"/>
      <c r="Q84" s="2025"/>
      <c r="R84" s="2025"/>
      <c r="S84" s="2025"/>
      <c r="T84" s="2025"/>
      <c r="U84" s="2025"/>
      <c r="V84" s="2025"/>
    </row>
    <row r="85" spans="1:26" ht="12.75">
      <c r="A85" s="380" t="s">
        <v>1824</v>
      </c>
      <c r="B85" s="381" t="s">
        <v>431</v>
      </c>
      <c r="C85" s="384">
        <f ca="1">C81-C84</f>
        <v>60572</v>
      </c>
      <c r="D85" s="377" t="s">
        <v>19</v>
      </c>
      <c r="E85" s="378"/>
      <c r="F85" s="42"/>
      <c r="G85" s="42"/>
      <c r="H85" s="1001"/>
      <c r="I85" s="310"/>
      <c r="J85" s="2025"/>
      <c r="K85" s="3339"/>
      <c r="L85" s="3083" t="s">
        <v>2878</v>
      </c>
      <c r="M85" s="3073">
        <f ca="1">IF(N69&gt;1000,N69*0.1%,IF(AND(N69&gt;500,N69&lt;=1000),N69*0.5%,IF(AND(N69&gt;50,N69&lt;=500),N69*1%,IF(AND(N69&gt;1,N69&lt;=50),N69*1.5%))))</f>
        <v>109.501</v>
      </c>
      <c r="N85" s="53">
        <f t="shared" ca="1" si="2"/>
        <v>109.5</v>
      </c>
      <c r="O85" s="2025" t="s">
        <v>2877</v>
      </c>
      <c r="P85" s="2025"/>
      <c r="Q85" s="2025"/>
      <c r="R85" s="2025"/>
      <c r="S85" s="2025"/>
      <c r="T85" s="2025"/>
      <c r="U85" s="2025"/>
      <c r="V85" s="2025"/>
    </row>
    <row r="86" spans="1:26" ht="13.5" thickBot="1">
      <c r="A86" s="385" t="s">
        <v>1825</v>
      </c>
      <c r="B86" s="386" t="s">
        <v>432</v>
      </c>
      <c r="C86" s="387">
        <f ca="1">IF(C85&lt;=0,0,ROUND(C85*D86,0))</f>
        <v>3392</v>
      </c>
      <c r="D86" s="388">
        <f>'数据-取费表'!B41</f>
        <v>5.6000000000000001E-2</v>
      </c>
      <c r="E86" s="389"/>
      <c r="F86" s="42"/>
      <c r="G86" s="42"/>
      <c r="H86" s="1001"/>
      <c r="I86" s="310"/>
      <c r="J86" s="2025"/>
      <c r="K86" s="3339"/>
      <c r="L86" s="3083" t="s">
        <v>2879</v>
      </c>
      <c r="M86" s="3073">
        <f ca="1">N69*0.5%</f>
        <v>547.505</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39"/>
      <c r="L87" s="3083" t="s">
        <v>2881</v>
      </c>
      <c r="M87" s="3073">
        <f ca="1">IF(N69&gt;=10000,(8.25+(N69-10000)*0.01%),IF(AND(N69&gt;=8000,N69&lt;10000),(7.85+(N69-8000)*0.02%),IF(AND(N69&gt;=5000,N69&lt;8000),(6.65+(N69-5000)*0.04%),IF(AND(N69&gt;=2000,N69&lt;5000),(4.25+(PN69-2000)*0.08%),IF(AND(N69&gt;=1000,N69&lt;2000),(2.75+(N69-1000)*0.15%),IF(AND(N69&gt;=100,N69&lt;1000),(0.5+(N69-100)*0.25%),IF(AND(N69&gt;0,N69&lt;100),N69*0.5%)))))))</f>
        <v>18.200099999999999</v>
      </c>
      <c r="N87" s="53">
        <f ca="1">ROUND(M87*0.9,1)</f>
        <v>16.399999999999999</v>
      </c>
      <c r="O87" s="3076"/>
      <c r="P87" s="310"/>
      <c r="Q87" s="2025"/>
      <c r="R87" s="2025"/>
      <c r="S87" s="2025"/>
      <c r="T87" s="2025"/>
      <c r="U87" s="2025"/>
      <c r="V87" s="2025"/>
      <c r="W87" s="291"/>
      <c r="X87" s="291"/>
      <c r="Y87" s="291"/>
      <c r="Z87" s="291"/>
    </row>
    <row r="88" spans="1:26" s="1312" customFormat="1" ht="15" thickBot="1">
      <c r="A88" s="3393" t="s">
        <v>433</v>
      </c>
      <c r="B88" s="3394"/>
      <c r="C88" s="3394"/>
      <c r="D88" s="3394"/>
      <c r="E88" s="3394"/>
      <c r="F88" s="3394"/>
      <c r="G88" s="3394"/>
      <c r="H88" s="3394"/>
      <c r="I88" s="1313"/>
      <c r="J88" s="2033"/>
      <c r="K88" s="3339"/>
      <c r="L88" s="3083" t="s">
        <v>2882</v>
      </c>
      <c r="M88" s="3073">
        <f ca="1">IF(N69&gt;10000,N69*0.5%,IF(AND(N69&gt;5000,N69&lt;=10000),N69*1%,IF(AND(N69&gt;1000,N69&lt;=5000),N69*2%,IF(AND(N69&gt;200,N69&lt;=1000),N69*3%,N69*5%))))</f>
        <v>547.505</v>
      </c>
      <c r="N88" s="53">
        <f ca="1">ROUND(M88,1)</f>
        <v>547.5</v>
      </c>
      <c r="O88" s="3076"/>
      <c r="P88" s="11"/>
      <c r="Q88" s="2030"/>
      <c r="R88" s="2030"/>
      <c r="S88" s="2030"/>
      <c r="T88" s="2030"/>
      <c r="U88" s="2030"/>
      <c r="V88" s="2030"/>
      <c r="W88" s="2034"/>
      <c r="X88" s="2034"/>
      <c r="Y88" s="2034"/>
      <c r="Z88" s="2034"/>
    </row>
    <row r="89" spans="1:26" s="1312" customFormat="1" ht="14.25">
      <c r="A89" s="3357" t="s">
        <v>424</v>
      </c>
      <c r="B89" s="3358"/>
      <c r="C89" s="992"/>
      <c r="D89" s="992" t="s">
        <v>425</v>
      </c>
      <c r="E89" s="390" t="s">
        <v>434</v>
      </c>
      <c r="F89" s="391"/>
      <c r="G89" s="391"/>
      <c r="H89" s="392"/>
      <c r="I89" s="1314"/>
      <c r="J89" s="2035"/>
      <c r="K89" s="3339"/>
      <c r="L89" s="3083" t="s">
        <v>27</v>
      </c>
      <c r="M89" s="3074"/>
      <c r="N89" s="53">
        <f ca="1">ROUND(SUM(N83:N88),0)</f>
        <v>1769</v>
      </c>
      <c r="O89" s="3084">
        <f ca="1">N89/N69</f>
        <v>1.6155103606359758E-2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62572</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2936</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0" t="s">
        <v>443</v>
      </c>
      <c r="F94" s="3391"/>
      <c r="G94" s="3391"/>
      <c r="H94" s="3392"/>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375</v>
      </c>
      <c r="D96" s="405">
        <f>'数据-取费表'!B43</f>
        <v>6.000000000000001E-3</v>
      </c>
      <c r="E96" s="3380" t="s">
        <v>2428</v>
      </c>
      <c r="F96" s="3381"/>
      <c r="G96" s="3381"/>
      <c r="H96" s="3382"/>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59636</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20.311989100817438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34754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3" t="s">
        <v>450</v>
      </c>
      <c r="B101" s="3394"/>
      <c r="C101" s="3394"/>
      <c r="D101" s="3394"/>
      <c r="E101" s="3394"/>
      <c r="F101" s="3394"/>
      <c r="G101" s="3394"/>
      <c r="H101" s="3394"/>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57" t="s">
        <v>424</v>
      </c>
      <c r="B102" s="3358"/>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62572</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1065</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83" t="s">
        <v>458</v>
      </c>
      <c r="F109" s="3381"/>
      <c r="G109" s="3381"/>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83" t="s">
        <v>460</v>
      </c>
      <c r="F110" s="3381"/>
      <c r="G110" s="3381"/>
      <c r="H110" s="3382"/>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375</v>
      </c>
      <c r="D111" s="405">
        <f>'数据-取费表'!B43</f>
        <v>6.000000000000001E-3</v>
      </c>
      <c r="E111" s="3380" t="s">
        <v>2428</v>
      </c>
      <c r="F111" s="3381"/>
      <c r="G111" s="3381"/>
      <c r="H111" s="3382"/>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3" t="s">
        <v>2453</v>
      </c>
      <c r="F112" s="3381"/>
      <c r="G112" s="3381"/>
      <c r="H112" s="3382"/>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61507</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57.753051643192485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36531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8" t="str">
        <f>项目基本情况!B1</f>
        <v>房山区周口店镇02街区02-0001地块出让国有建设用地使用权抵押价格预评估</v>
      </c>
      <c r="C37" s="3248"/>
      <c r="D37" s="3248"/>
      <c r="E37" s="3248"/>
      <c r="F37" s="3248"/>
      <c r="G37" s="3248"/>
      <c r="H37" s="3248"/>
      <c r="I37" s="3248"/>
    </row>
    <row r="38" spans="1:9">
      <c r="A38" s="1652"/>
      <c r="B38" s="1652"/>
    </row>
    <row r="39" spans="1:9">
      <c r="A39" s="1650" t="s">
        <v>1898</v>
      </c>
      <c r="B39" s="1650" t="s">
        <v>2045</v>
      </c>
    </row>
    <row r="40" spans="1:9">
      <c r="A40" s="1650"/>
      <c r="B40" s="1650" t="str">
        <f>项目基本情况!B5</f>
        <v>北京凯华房地产开发有限公司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 zoomScale="80" zoomScaleNormal="95" zoomScaleSheetLayoutView="80" workbookViewId="0">
      <selection activeCell="K48" sqref="K48"/>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103390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4886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16710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38" t="s">
        <v>518</v>
      </c>
      <c r="D6" s="3439"/>
      <c r="E6" s="3438" t="s">
        <v>519</v>
      </c>
      <c r="F6" s="3439"/>
      <c r="G6" s="3438" t="s">
        <v>520</v>
      </c>
      <c r="H6" s="3439"/>
      <c r="I6" s="3438" t="s">
        <v>521</v>
      </c>
      <c r="J6" s="3439"/>
      <c r="K6" s="513" t="s">
        <v>522</v>
      </c>
      <c r="L6" s="2130"/>
      <c r="M6" s="2129"/>
      <c r="N6" s="2129"/>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30" ht="42" customHeight="1">
      <c r="A7" s="514"/>
      <c r="B7" s="515"/>
      <c r="C7" s="3449" t="s">
        <v>2927</v>
      </c>
      <c r="D7" s="3450"/>
      <c r="E7" s="3449" t="str">
        <f>面积表!A2</f>
        <v>中山市东凤镇永益村</v>
      </c>
      <c r="F7" s="3450"/>
      <c r="G7" s="3449" t="str">
        <f>面积表!A3</f>
        <v>中山市港口镇民主社区</v>
      </c>
      <c r="H7" s="3450"/>
      <c r="I7" s="3449" t="str">
        <f>面积表!A4</f>
        <v>中山市西区博爱一路侧</v>
      </c>
      <c r="J7" s="3450"/>
      <c r="K7" s="513"/>
      <c r="L7" s="2130"/>
      <c r="M7" s="2129"/>
      <c r="N7" s="2129"/>
      <c r="O7" s="2131"/>
      <c r="P7" s="3442"/>
      <c r="Q7" s="3443"/>
      <c r="R7" s="3428"/>
      <c r="S7" s="3429"/>
      <c r="T7" s="3428"/>
      <c r="U7" s="3429"/>
      <c r="V7" s="3446"/>
      <c r="W7" s="3446"/>
      <c r="X7" s="1563"/>
      <c r="Y7" s="3428"/>
      <c r="Z7" s="3429"/>
      <c r="AA7" s="3422"/>
      <c r="AB7" s="3422"/>
      <c r="AC7" s="3422"/>
    </row>
    <row r="8" spans="1:30" ht="21" thickBot="1">
      <c r="A8" s="514"/>
      <c r="B8" s="515"/>
      <c r="C8" s="3451" t="s">
        <v>2931</v>
      </c>
      <c r="D8" s="3452"/>
      <c r="E8" s="3451" t="s">
        <v>2931</v>
      </c>
      <c r="F8" s="3452"/>
      <c r="G8" s="3447" t="s">
        <v>2931</v>
      </c>
      <c r="H8" s="3448"/>
      <c r="I8" s="3447" t="s">
        <v>2931</v>
      </c>
      <c r="J8" s="3448"/>
      <c r="K8" s="513" t="s">
        <v>524</v>
      </c>
      <c r="L8" s="2130"/>
      <c r="M8" s="2129"/>
      <c r="N8" s="2129"/>
      <c r="O8" s="2131"/>
      <c r="P8" s="3444"/>
      <c r="Q8" s="3445"/>
      <c r="R8" s="3428"/>
      <c r="S8" s="3429"/>
      <c r="T8" s="3430"/>
      <c r="U8" s="3431"/>
      <c r="V8" s="3446"/>
      <c r="W8" s="3446"/>
      <c r="X8" s="1563"/>
      <c r="Y8" s="3430"/>
      <c r="Z8" s="3431"/>
      <c r="AA8" s="3423"/>
      <c r="AB8" s="3423"/>
      <c r="AC8" s="3423"/>
    </row>
    <row r="9" spans="1:30" s="1218" customFormat="1" ht="21" thickBot="1">
      <c r="A9" s="2933"/>
      <c r="B9" s="2940" t="s">
        <v>525</v>
      </c>
      <c r="C9" s="2932">
        <f>'数据-取费表'!B2</f>
        <v>43241</v>
      </c>
      <c r="D9" s="519">
        <v>100</v>
      </c>
      <c r="E9" s="520" t="str">
        <f>面积表!H2</f>
        <v>2017-10-25</v>
      </c>
      <c r="F9" s="521">
        <f>SUMIF(72:72,YEAR(E9)&amp;"-"&amp;INT((MONTH(E9)+2)/3),73:73)</f>
        <v>99.6</v>
      </c>
      <c r="G9" s="522" t="str">
        <f>面积表!H3</f>
        <v>2017-05-11</v>
      </c>
      <c r="H9" s="519">
        <f>SUMIF(72:72,YEAR(G9)&amp;"-"&amp;INT((MONTH(G9)+2)/3),73:73)</f>
        <v>99.199999999999989</v>
      </c>
      <c r="I9" s="522" t="str">
        <f>面积表!H4</f>
        <v>2017-02-22</v>
      </c>
      <c r="J9" s="519">
        <f>SUMIF(72:72,YEAR(I9)&amp;"-"&amp;INT((MONTH(I9)+2)/3),73:73)</f>
        <v>98.999999999999986</v>
      </c>
      <c r="K9" s="523"/>
      <c r="L9" s="2132"/>
      <c r="M9" s="2129"/>
      <c r="N9" s="2129"/>
      <c r="O9" s="2133"/>
      <c r="P9" s="3424" t="s">
        <v>526</v>
      </c>
      <c r="Q9" s="3433"/>
      <c r="R9" s="1564" t="s">
        <v>8</v>
      </c>
      <c r="S9" s="1565">
        <f t="shared" ref="S9:S17" si="0">F9</f>
        <v>99.6</v>
      </c>
      <c r="T9" s="1564" t="s">
        <v>8</v>
      </c>
      <c r="U9" s="1565">
        <f t="shared" ref="U9:U17" si="1">H9</f>
        <v>99.199999999999989</v>
      </c>
      <c r="V9" s="1564" t="s">
        <v>8</v>
      </c>
      <c r="W9" s="1565">
        <f t="shared" ref="W9:W17" si="2">J9</f>
        <v>98.999999999999986</v>
      </c>
      <c r="X9" s="1566"/>
      <c r="Y9" s="3424" t="s">
        <v>526</v>
      </c>
      <c r="Z9" s="3425"/>
      <c r="AA9" s="1567">
        <f>D9/F9</f>
        <v>1.0040160642570282</v>
      </c>
      <c r="AB9" s="1567">
        <f>D9/H9</f>
        <v>1.0080645161290325</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4" t="s">
        <v>529</v>
      </c>
      <c r="Q10" s="3425"/>
      <c r="R10" s="1564" t="s">
        <v>8</v>
      </c>
      <c r="S10" s="1565">
        <f t="shared" si="0"/>
        <v>100</v>
      </c>
      <c r="T10" s="1564" t="s">
        <v>8</v>
      </c>
      <c r="U10" s="1565">
        <f t="shared" si="1"/>
        <v>100</v>
      </c>
      <c r="V10" s="1564" t="s">
        <v>8</v>
      </c>
      <c r="W10" s="1565">
        <f t="shared" si="2"/>
        <v>100</v>
      </c>
      <c r="X10" s="1566"/>
      <c r="Y10" s="3424" t="s">
        <v>529</v>
      </c>
      <c r="Z10" s="3425"/>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2987</v>
      </c>
      <c r="D11" s="253">
        <v>100</v>
      </c>
      <c r="E11" s="2929" t="s">
        <v>2987</v>
      </c>
      <c r="F11" s="253">
        <f>SUMIF(77:77,E11,78:78)-SUMIF(77:77,C11,78:78)+100</f>
        <v>100</v>
      </c>
      <c r="G11" s="2929" t="s">
        <v>2987</v>
      </c>
      <c r="H11" s="253">
        <f>SUMIF(77:77,G11,78:78)-SUMIF(77:77,C11,78:78)+100</f>
        <v>100</v>
      </c>
      <c r="I11" s="2929" t="s">
        <v>2987</v>
      </c>
      <c r="J11" s="253">
        <f>SUMIF(77:77,I11,78:78)-SUMIF(77:77,C11,78:78)+100</f>
        <v>100</v>
      </c>
      <c r="K11" s="523"/>
      <c r="L11" s="2132"/>
      <c r="M11" s="2129"/>
      <c r="N11" s="2129"/>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32"/>
      <c r="Q13" s="1149" t="str">
        <f t="shared" si="6"/>
        <v>容积率</v>
      </c>
      <c r="R13" s="1564" t="s">
        <v>8</v>
      </c>
      <c r="S13" s="1565">
        <f t="shared" si="0"/>
        <v>105</v>
      </c>
      <c r="T13" s="1564" t="s">
        <v>8</v>
      </c>
      <c r="U13" s="1565">
        <f t="shared" si="1"/>
        <v>105</v>
      </c>
      <c r="V13" s="1564" t="s">
        <v>8</v>
      </c>
      <c r="W13" s="1565">
        <f t="shared" si="2"/>
        <v>105</v>
      </c>
      <c r="X13" s="1566"/>
      <c r="Y13" s="3389"/>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32"/>
      <c r="Q14" s="1149" t="str">
        <f t="shared" si="6"/>
        <v>配建</v>
      </c>
      <c r="R14" s="1564" t="s">
        <v>8</v>
      </c>
      <c r="S14" s="1565">
        <f t="shared" si="0"/>
        <v>100</v>
      </c>
      <c r="T14" s="1564" t="s">
        <v>8</v>
      </c>
      <c r="U14" s="1565">
        <f t="shared" si="1"/>
        <v>100</v>
      </c>
      <c r="V14" s="1564" t="s">
        <v>8</v>
      </c>
      <c r="W14" s="1565">
        <f t="shared" si="2"/>
        <v>100</v>
      </c>
      <c r="X14" s="1566"/>
      <c r="Y14" s="3389"/>
      <c r="Z14" s="1148" t="str">
        <f t="shared" si="7"/>
        <v>配建</v>
      </c>
      <c r="AA14" s="1567">
        <f>D14/F14</f>
        <v>1</v>
      </c>
      <c r="AB14" s="1567">
        <f>D14/H14</f>
        <v>1</v>
      </c>
      <c r="AC14" s="1567">
        <f>D14/J14</f>
        <v>1</v>
      </c>
    </row>
    <row r="15" spans="1:30" ht="18.75" customHeight="1">
      <c r="A15" s="2938"/>
      <c r="B15" s="3204" t="s">
        <v>3091</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32"/>
      <c r="Q15" s="1149" t="str">
        <f t="shared" si="6"/>
        <v>特殊情况</v>
      </c>
      <c r="R15" s="1564" t="s">
        <v>8</v>
      </c>
      <c r="S15" s="1565">
        <f t="shared" si="0"/>
        <v>100</v>
      </c>
      <c r="T15" s="1564" t="s">
        <v>8</v>
      </c>
      <c r="U15" s="1565">
        <f t="shared" si="1"/>
        <v>100</v>
      </c>
      <c r="V15" s="1564" t="s">
        <v>8</v>
      </c>
      <c r="W15" s="1565">
        <f t="shared" si="2"/>
        <v>100</v>
      </c>
      <c r="X15" s="1566"/>
      <c r="Y15" s="3389"/>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2"/>
      <c r="Q16" s="1149">
        <f t="shared" si="6"/>
        <v>0</v>
      </c>
      <c r="R16" s="1564" t="s">
        <v>8</v>
      </c>
      <c r="S16" s="1565">
        <f t="shared" si="0"/>
        <v>100</v>
      </c>
      <c r="T16" s="1564" t="s">
        <v>8</v>
      </c>
      <c r="U16" s="1565">
        <f t="shared" si="1"/>
        <v>100</v>
      </c>
      <c r="V16" s="1564" t="s">
        <v>8</v>
      </c>
      <c r="W16" s="1565">
        <f t="shared" si="2"/>
        <v>100</v>
      </c>
      <c r="X16" s="1566"/>
      <c r="Y16" s="3389"/>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3199</v>
      </c>
      <c r="F17" s="548">
        <f>SUMIF(90:90,E18,91:91)-SUMIF(90:90,C18,91:91)+100</f>
        <v>100</v>
      </c>
      <c r="G17" s="3207" t="s">
        <v>3189</v>
      </c>
      <c r="H17" s="548">
        <f>SUMIF(90:90,G18,91:91)-SUMIF(90:90,C18,91:91)+100</f>
        <v>100</v>
      </c>
      <c r="I17" s="3207" t="s">
        <v>3186</v>
      </c>
      <c r="J17" s="548">
        <f>SUMIF(90:90,I18,91:91)-SUMIF(90:90,C18,91:91)+100</f>
        <v>100</v>
      </c>
      <c r="K17" s="534">
        <v>2</v>
      </c>
      <c r="L17" s="2139"/>
      <c r="M17" s="2129"/>
      <c r="N17" s="2129"/>
      <c r="O17" s="2138"/>
      <c r="P17" s="3434" t="s">
        <v>536</v>
      </c>
      <c r="Q17" s="1568" t="str">
        <f t="shared" si="6"/>
        <v>居住社区成熟度</v>
      </c>
      <c r="R17" s="1569" t="s">
        <v>8</v>
      </c>
      <c r="S17" s="1570">
        <f t="shared" si="0"/>
        <v>100</v>
      </c>
      <c r="T17" s="1569" t="s">
        <v>8</v>
      </c>
      <c r="U17" s="1570">
        <f t="shared" si="1"/>
        <v>100</v>
      </c>
      <c r="V17" s="1569" t="s">
        <v>8</v>
      </c>
      <c r="W17" s="1570">
        <f t="shared" si="2"/>
        <v>100</v>
      </c>
      <c r="X17" s="1563"/>
      <c r="Y17" s="3434"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35"/>
      <c r="Q18" s="1568"/>
      <c r="R18" s="1569"/>
      <c r="S18" s="1570"/>
      <c r="T18" s="1569"/>
      <c r="U18" s="1570"/>
      <c r="V18" s="1569"/>
      <c r="W18" s="1570"/>
      <c r="X18" s="1563"/>
      <c r="Y18" s="3435"/>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3190</v>
      </c>
      <c r="H19" s="564">
        <f>SUMIF(92:92,G20,93:93)-SUMIF(92:92,C20,93:93)+100</f>
        <v>100</v>
      </c>
      <c r="I19" s="3212" t="s">
        <v>3187</v>
      </c>
      <c r="J19" s="564">
        <f>SUMIF(92:92,I20,93:93)-SUMIF(92:92,C20,93:93)+100</f>
        <v>100</v>
      </c>
      <c r="K19" s="534">
        <v>2</v>
      </c>
      <c r="L19" s="2139"/>
      <c r="M19" s="2129"/>
      <c r="N19" s="2129"/>
      <c r="O19" s="2138"/>
      <c r="P19" s="3435"/>
      <c r="Q19" s="1568" t="str">
        <f>B19</f>
        <v>商业繁华度</v>
      </c>
      <c r="R19" s="1569" t="s">
        <v>8</v>
      </c>
      <c r="S19" s="1570">
        <f>F19</f>
        <v>100</v>
      </c>
      <c r="T19" s="1569" t="s">
        <v>8</v>
      </c>
      <c r="U19" s="1570">
        <f>H19</f>
        <v>100</v>
      </c>
      <c r="V19" s="1569" t="s">
        <v>8</v>
      </c>
      <c r="W19" s="1570">
        <f>J19</f>
        <v>100</v>
      </c>
      <c r="X19" s="1563"/>
      <c r="Y19" s="3435"/>
      <c r="Z19" s="1571" t="str">
        <f>Q19</f>
        <v>商业繁华度</v>
      </c>
      <c r="AA19" s="1572">
        <f t="shared" si="3"/>
        <v>1</v>
      </c>
      <c r="AB19" s="1572">
        <f t="shared" si="4"/>
        <v>1</v>
      </c>
      <c r="AC19" s="1572">
        <f t="shared" si="5"/>
        <v>1</v>
      </c>
    </row>
    <row r="20" spans="1:29" ht="20.25">
      <c r="A20" s="531"/>
      <c r="B20" s="565"/>
      <c r="C20" s="566" t="s">
        <v>3094</v>
      </c>
      <c r="D20" s="562"/>
      <c r="E20" s="566" t="s">
        <v>3094</v>
      </c>
      <c r="F20" s="558"/>
      <c r="G20" s="567" t="s">
        <v>3094</v>
      </c>
      <c r="H20" s="554"/>
      <c r="I20" s="568" t="s">
        <v>3094</v>
      </c>
      <c r="J20" s="554"/>
      <c r="K20" s="530"/>
      <c r="L20" s="2139"/>
      <c r="M20" s="2129"/>
      <c r="N20" s="2129"/>
      <c r="O20" s="2138"/>
      <c r="P20" s="3435"/>
      <c r="Q20" s="1568"/>
      <c r="R20" s="1569"/>
      <c r="S20" s="1570"/>
      <c r="T20" s="1569"/>
      <c r="U20" s="1570"/>
      <c r="V20" s="1569"/>
      <c r="W20" s="1570"/>
      <c r="X20" s="1563"/>
      <c r="Y20" s="3435"/>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5"/>
      <c r="Q21" s="1568" t="str">
        <f>B21</f>
        <v>办公集聚程度</v>
      </c>
      <c r="R21" s="1569" t="s">
        <v>8</v>
      </c>
      <c r="S21" s="1570">
        <f>F21</f>
        <v>100</v>
      </c>
      <c r="T21" s="1569" t="s">
        <v>8</v>
      </c>
      <c r="U21" s="1570">
        <f>H21</f>
        <v>100</v>
      </c>
      <c r="V21" s="1569" t="s">
        <v>8</v>
      </c>
      <c r="W21" s="1570">
        <f>J21</f>
        <v>100</v>
      </c>
      <c r="X21" s="1563"/>
      <c r="Y21" s="3435"/>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35"/>
      <c r="Q22" s="1568"/>
      <c r="R22" s="1569"/>
      <c r="S22" s="1570"/>
      <c r="T22" s="1569"/>
      <c r="U22" s="1570"/>
      <c r="V22" s="1569"/>
      <c r="W22" s="1570"/>
      <c r="X22" s="1563"/>
      <c r="Y22" s="3435"/>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3197</v>
      </c>
      <c r="F23" s="564">
        <f>SUMIF(96:96,E24,97:97)-SUMIF(96:96,C24,97:97)+100</f>
        <v>100</v>
      </c>
      <c r="G23" s="3209" t="s">
        <v>3191</v>
      </c>
      <c r="H23" s="558">
        <f>SUMIF(96:96,G24,97:97)-SUMIF(96:96,C24,97:97)+100</f>
        <v>100</v>
      </c>
      <c r="I23" s="3209" t="s">
        <v>3188</v>
      </c>
      <c r="J23" s="558">
        <f>SUMIF(96:96,I24,97:97)-SUMIF(96:96,C24,97:97)+100</f>
        <v>100</v>
      </c>
      <c r="K23" s="534">
        <v>2</v>
      </c>
      <c r="L23" s="2139"/>
      <c r="M23" s="2129"/>
      <c r="N23" s="2129"/>
      <c r="O23" s="2138"/>
      <c r="P23" s="3435"/>
      <c r="Q23" s="1568" t="str">
        <f>B23</f>
        <v>交通便捷度</v>
      </c>
      <c r="R23" s="1569" t="s">
        <v>8</v>
      </c>
      <c r="S23" s="1570">
        <f>F23</f>
        <v>100</v>
      </c>
      <c r="T23" s="1569" t="s">
        <v>8</v>
      </c>
      <c r="U23" s="1570">
        <f>H23</f>
        <v>100</v>
      </c>
      <c r="V23" s="1569" t="s">
        <v>8</v>
      </c>
      <c r="W23" s="1570">
        <f>J23</f>
        <v>100</v>
      </c>
      <c r="X23" s="1563"/>
      <c r="Y23" s="3435"/>
      <c r="Z23" s="1571" t="str">
        <f>Q23</f>
        <v>交通便捷度</v>
      </c>
      <c r="AA23" s="1572">
        <f t="shared" si="3"/>
        <v>1</v>
      </c>
      <c r="AB23" s="1572">
        <f t="shared" si="4"/>
        <v>1</v>
      </c>
      <c r="AC23" s="1572">
        <f t="shared" si="5"/>
        <v>1</v>
      </c>
    </row>
    <row r="24" spans="1:29" ht="20.25">
      <c r="A24" s="531"/>
      <c r="B24" s="577"/>
      <c r="C24" s="553" t="s">
        <v>3094</v>
      </c>
      <c r="D24" s="556"/>
      <c r="E24" s="553" t="s">
        <v>3094</v>
      </c>
      <c r="F24" s="554"/>
      <c r="G24" s="553" t="s">
        <v>3094</v>
      </c>
      <c r="H24" s="554"/>
      <c r="I24" s="557" t="s">
        <v>3094</v>
      </c>
      <c r="J24" s="554"/>
      <c r="K24" s="530"/>
      <c r="L24" s="2139"/>
      <c r="M24" s="2129"/>
      <c r="N24" s="2129"/>
      <c r="O24" s="2138"/>
      <c r="P24" s="3435"/>
      <c r="Q24" s="1568"/>
      <c r="R24" s="1569"/>
      <c r="S24" s="1570"/>
      <c r="T24" s="1569"/>
      <c r="U24" s="1570"/>
      <c r="V24" s="1569"/>
      <c r="W24" s="1570"/>
      <c r="X24" s="1563"/>
      <c r="Y24" s="3435"/>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35"/>
      <c r="Q25" s="1568" t="str">
        <f t="shared" ref="Q25:Q39" si="8">B25</f>
        <v>区域土地利用方向</v>
      </c>
      <c r="R25" s="1569" t="s">
        <v>8</v>
      </c>
      <c r="S25" s="1570">
        <f>F25</f>
        <v>100</v>
      </c>
      <c r="T25" s="1569" t="s">
        <v>8</v>
      </c>
      <c r="U25" s="1570">
        <f>H25</f>
        <v>100</v>
      </c>
      <c r="V25" s="1569" t="s">
        <v>8</v>
      </c>
      <c r="W25" s="1570">
        <f>J25</f>
        <v>100</v>
      </c>
      <c r="X25" s="1563"/>
      <c r="Y25" s="3435"/>
      <c r="Z25" s="1571" t="str">
        <f>Q25</f>
        <v>区域土地利用方向</v>
      </c>
      <c r="AA25" s="1572">
        <f t="shared" si="3"/>
        <v>1</v>
      </c>
      <c r="AB25" s="1572">
        <f t="shared" si="4"/>
        <v>1</v>
      </c>
      <c r="AC25" s="1572">
        <f t="shared" si="5"/>
        <v>1</v>
      </c>
    </row>
    <row r="26" spans="1:29" ht="20.25">
      <c r="A26" s="514"/>
      <c r="B26" s="1005"/>
      <c r="C26" s="553" t="s">
        <v>3094</v>
      </c>
      <c r="D26" s="556"/>
      <c r="E26" s="553" t="s">
        <v>3094</v>
      </c>
      <c r="F26" s="554"/>
      <c r="G26" s="553" t="s">
        <v>3094</v>
      </c>
      <c r="H26" s="554"/>
      <c r="I26" s="553" t="s">
        <v>3094</v>
      </c>
      <c r="J26" s="554"/>
      <c r="K26" s="530"/>
      <c r="L26" s="2139"/>
      <c r="M26" s="2129"/>
      <c r="N26" s="2129"/>
      <c r="O26" s="2138"/>
      <c r="P26" s="3435"/>
      <c r="Q26" s="1568"/>
      <c r="R26" s="1569"/>
      <c r="S26" s="1570"/>
      <c r="T26" s="1569"/>
      <c r="U26" s="1570"/>
      <c r="V26" s="1569"/>
      <c r="W26" s="1570"/>
      <c r="X26" s="1563"/>
      <c r="Y26" s="3435"/>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35"/>
      <c r="Q27" s="1568" t="str">
        <f t="shared" si="8"/>
        <v>自然及人文环境状况</v>
      </c>
      <c r="R27" s="1569" t="s">
        <v>8</v>
      </c>
      <c r="S27" s="1570">
        <f>F27</f>
        <v>100</v>
      </c>
      <c r="T27" s="1569" t="s">
        <v>8</v>
      </c>
      <c r="U27" s="1570">
        <f>H27</f>
        <v>100</v>
      </c>
      <c r="V27" s="1569" t="s">
        <v>8</v>
      </c>
      <c r="W27" s="1570">
        <f>J27</f>
        <v>100</v>
      </c>
      <c r="X27" s="1563"/>
      <c r="Y27" s="3435"/>
      <c r="Z27" s="1571" t="str">
        <f>Q27</f>
        <v>自然及人文环境状况</v>
      </c>
      <c r="AA27" s="1572">
        <f t="shared" si="3"/>
        <v>1</v>
      </c>
      <c r="AB27" s="1572">
        <f t="shared" si="4"/>
        <v>1</v>
      </c>
      <c r="AC27" s="1572">
        <f t="shared" si="5"/>
        <v>1</v>
      </c>
    </row>
    <row r="28" spans="1:29" ht="20.25">
      <c r="A28" s="514"/>
      <c r="B28" s="565"/>
      <c r="C28" s="575" t="s">
        <v>3092</v>
      </c>
      <c r="D28" s="556"/>
      <c r="E28" s="575" t="s">
        <v>3092</v>
      </c>
      <c r="F28" s="554"/>
      <c r="G28" s="553" t="s">
        <v>3092</v>
      </c>
      <c r="H28" s="554"/>
      <c r="I28" s="575" t="s">
        <v>3092</v>
      </c>
      <c r="J28" s="554"/>
      <c r="K28" s="530"/>
      <c r="L28" s="2139"/>
      <c r="M28" s="2129"/>
      <c r="N28" s="2129"/>
      <c r="O28" s="2138"/>
      <c r="P28" s="3435"/>
      <c r="Q28" s="1568"/>
      <c r="R28" s="1569"/>
      <c r="S28" s="1570"/>
      <c r="T28" s="1569"/>
      <c r="U28" s="1570"/>
      <c r="V28" s="1569"/>
      <c r="W28" s="1570"/>
      <c r="X28" s="1563"/>
      <c r="Y28" s="3435"/>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35"/>
      <c r="Q29" s="1149" t="str">
        <f t="shared" si="8"/>
        <v>公共配套设施</v>
      </c>
      <c r="R29" s="1564" t="s">
        <v>8</v>
      </c>
      <c r="S29" s="1565">
        <f>F29</f>
        <v>100</v>
      </c>
      <c r="T29" s="1564" t="s">
        <v>8</v>
      </c>
      <c r="U29" s="1565">
        <f>H29</f>
        <v>100</v>
      </c>
      <c r="V29" s="1564" t="s">
        <v>8</v>
      </c>
      <c r="W29" s="1565">
        <f>J29</f>
        <v>100</v>
      </c>
      <c r="X29" s="1566"/>
      <c r="Y29" s="3435"/>
      <c r="Z29" s="1148" t="str">
        <f>Q29</f>
        <v>公共配套设施</v>
      </c>
      <c r="AA29" s="1572">
        <f>D29/F29</f>
        <v>1</v>
      </c>
      <c r="AB29" s="1572">
        <f>D29/H29</f>
        <v>1</v>
      </c>
      <c r="AC29" s="1572">
        <f>D29/J29</f>
        <v>1</v>
      </c>
    </row>
    <row r="30" spans="1:29" s="1218" customFormat="1" ht="20.25">
      <c r="A30" s="576"/>
      <c r="B30" s="565"/>
      <c r="C30" s="578" t="s">
        <v>3094</v>
      </c>
      <c r="D30" s="556"/>
      <c r="E30" s="578" t="s">
        <v>3094</v>
      </c>
      <c r="F30" s="554"/>
      <c r="G30" s="553" t="s">
        <v>3094</v>
      </c>
      <c r="H30" s="554"/>
      <c r="I30" s="575" t="s">
        <v>3094</v>
      </c>
      <c r="J30" s="554"/>
      <c r="K30" s="530"/>
      <c r="L30" s="2132"/>
      <c r="M30" s="2129"/>
      <c r="N30" s="2129"/>
      <c r="O30" s="2134"/>
      <c r="P30" s="3435"/>
      <c r="Q30" s="1149"/>
      <c r="R30" s="1564"/>
      <c r="S30" s="1565"/>
      <c r="T30" s="1564"/>
      <c r="U30" s="1565"/>
      <c r="V30" s="1564"/>
      <c r="W30" s="1565"/>
      <c r="X30" s="1566"/>
      <c r="Y30" s="3435"/>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5"/>
      <c r="Q31" s="2599" t="str">
        <f t="shared" ref="Q31" si="9">B31</f>
        <v>基础设施水平</v>
      </c>
      <c r="R31" s="1564" t="s">
        <v>8</v>
      </c>
      <c r="S31" s="1565">
        <f>F31</f>
        <v>100</v>
      </c>
      <c r="T31" s="1564" t="s">
        <v>8</v>
      </c>
      <c r="U31" s="1565">
        <f>H31</f>
        <v>100</v>
      </c>
      <c r="V31" s="1564" t="s">
        <v>8</v>
      </c>
      <c r="W31" s="1565">
        <f>J31</f>
        <v>100</v>
      </c>
      <c r="X31" s="1566"/>
      <c r="Y31" s="3435"/>
      <c r="Z31" s="2596" t="str">
        <f>Q31</f>
        <v>基础设施水平</v>
      </c>
      <c r="AA31" s="1572">
        <f>D31/F31</f>
        <v>1</v>
      </c>
      <c r="AB31" s="1572">
        <f>D31/H31</f>
        <v>1</v>
      </c>
      <c r="AC31" s="1572">
        <f>D31/J31</f>
        <v>1</v>
      </c>
    </row>
    <row r="32" spans="1:29" s="1218" customFormat="1" ht="20.25">
      <c r="A32" s="576"/>
      <c r="B32" s="565"/>
      <c r="C32" s="578" t="s">
        <v>3112</v>
      </c>
      <c r="D32" s="556"/>
      <c r="E32" s="578" t="s">
        <v>3112</v>
      </c>
      <c r="F32" s="554"/>
      <c r="G32" s="578" t="s">
        <v>3112</v>
      </c>
      <c r="H32" s="554"/>
      <c r="I32" s="578" t="s">
        <v>3112</v>
      </c>
      <c r="J32" s="554"/>
      <c r="K32" s="530"/>
      <c r="L32" s="2132"/>
      <c r="M32" s="2129"/>
      <c r="N32" s="2129"/>
      <c r="O32" s="2134"/>
      <c r="P32" s="3435"/>
      <c r="Q32" s="2599"/>
      <c r="R32" s="1564"/>
      <c r="S32" s="1565"/>
      <c r="T32" s="1564"/>
      <c r="U32" s="1565"/>
      <c r="V32" s="1564"/>
      <c r="W32" s="1565"/>
      <c r="X32" s="1566"/>
      <c r="Y32" s="3435"/>
      <c r="Z32" s="2596"/>
      <c r="AA32" s="1572">
        <v>1</v>
      </c>
      <c r="AB32" s="1572">
        <v>1</v>
      </c>
      <c r="AC32" s="1572">
        <v>1</v>
      </c>
    </row>
    <row r="33" spans="1:29" ht="20.25">
      <c r="A33" s="531"/>
      <c r="B33" s="565" t="s">
        <v>543</v>
      </c>
      <c r="C33" s="579" t="s">
        <v>3098</v>
      </c>
      <c r="D33" s="574">
        <v>100</v>
      </c>
      <c r="E33" s="579"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39"/>
      <c r="M33" s="2129"/>
      <c r="N33" s="2129"/>
      <c r="O33" s="2138"/>
      <c r="P33" s="343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5"/>
      <c r="Z33" s="1571" t="str">
        <f t="shared" ref="Z33:Z47" si="13">Q33</f>
        <v>临街状况</v>
      </c>
      <c r="AA33" s="1572">
        <f t="shared" si="3"/>
        <v>1</v>
      </c>
      <c r="AB33" s="1572">
        <f t="shared" si="4"/>
        <v>1</v>
      </c>
      <c r="AC33" s="1572">
        <f t="shared" si="5"/>
        <v>1</v>
      </c>
    </row>
    <row r="34" spans="1:29" ht="27">
      <c r="A34" s="531"/>
      <c r="B34" s="577" t="s">
        <v>544</v>
      </c>
      <c r="C34" s="3209" t="s">
        <v>3196</v>
      </c>
      <c r="D34" s="562">
        <v>100</v>
      </c>
      <c r="E34" s="3212" t="s">
        <v>3198</v>
      </c>
      <c r="F34" s="558">
        <f>SUMIF(108:108,E35,109:109)-SUMIF(108:108,C35,109:109)+100</f>
        <v>102</v>
      </c>
      <c r="G34" s="3209" t="s">
        <v>3193</v>
      </c>
      <c r="H34" s="558">
        <f>SUMIF(108:108,G35,109:109)-SUMIF(108:108,C35,109:109)+100</f>
        <v>106</v>
      </c>
      <c r="I34" s="3209" t="s">
        <v>3195</v>
      </c>
      <c r="J34" s="558">
        <f>SUMIF(108:108,I35,109:109)-SUMIF(108:108,C35,109:109)+100</f>
        <v>102</v>
      </c>
      <c r="K34" s="534">
        <v>2</v>
      </c>
      <c r="L34" s="2139"/>
      <c r="M34" s="2129"/>
      <c r="N34" s="2129"/>
      <c r="O34" s="2138"/>
      <c r="P34" s="3435"/>
      <c r="Q34" s="1568" t="str">
        <f t="shared" si="8"/>
        <v>毗邻道路的类型与等级</v>
      </c>
      <c r="R34" s="1569" t="s">
        <v>8</v>
      </c>
      <c r="S34" s="1570">
        <f t="shared" si="10"/>
        <v>102</v>
      </c>
      <c r="T34" s="1569" t="s">
        <v>8</v>
      </c>
      <c r="U34" s="1570">
        <f t="shared" si="11"/>
        <v>106</v>
      </c>
      <c r="V34" s="1569" t="s">
        <v>8</v>
      </c>
      <c r="W34" s="1570">
        <f t="shared" si="12"/>
        <v>102</v>
      </c>
      <c r="X34" s="1563"/>
      <c r="Y34" s="3435"/>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3102</v>
      </c>
      <c r="D35" s="556"/>
      <c r="E35" s="575" t="s">
        <v>3194</v>
      </c>
      <c r="F35" s="554"/>
      <c r="G35" s="553" t="s">
        <v>3192</v>
      </c>
      <c r="H35" s="554"/>
      <c r="I35" s="575" t="s">
        <v>3194</v>
      </c>
      <c r="J35" s="554"/>
      <c r="K35" s="580"/>
      <c r="L35" s="2139"/>
      <c r="M35" s="2129"/>
      <c r="N35" s="2129"/>
      <c r="O35" s="2138"/>
      <c r="P35" s="3435"/>
      <c r="Q35" s="1568"/>
      <c r="R35" s="1569"/>
      <c r="S35" s="1570"/>
      <c r="T35" s="1569"/>
      <c r="U35" s="1570"/>
      <c r="V35" s="1569"/>
      <c r="W35" s="1570"/>
      <c r="X35" s="1563"/>
      <c r="Y35" s="3435"/>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5"/>
      <c r="Q36" s="1568" t="str">
        <f t="shared" si="8"/>
        <v>土地级别</v>
      </c>
      <c r="R36" s="1569" t="s">
        <v>8</v>
      </c>
      <c r="S36" s="1570">
        <f t="shared" si="10"/>
        <v>100</v>
      </c>
      <c r="T36" s="1569" t="s">
        <v>8</v>
      </c>
      <c r="U36" s="1570">
        <f t="shared" si="11"/>
        <v>100</v>
      </c>
      <c r="V36" s="1569" t="s">
        <v>8</v>
      </c>
      <c r="W36" s="1570">
        <f t="shared" si="12"/>
        <v>100</v>
      </c>
      <c r="X36" s="1563"/>
      <c r="Y36" s="3435"/>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5"/>
      <c r="Q37" s="1568">
        <f t="shared" si="8"/>
        <v>111</v>
      </c>
      <c r="R37" s="1569" t="s">
        <v>8</v>
      </c>
      <c r="S37" s="1570">
        <f t="shared" si="10"/>
        <v>100</v>
      </c>
      <c r="T37" s="1569" t="s">
        <v>8</v>
      </c>
      <c r="U37" s="1570">
        <f t="shared" si="11"/>
        <v>100</v>
      </c>
      <c r="V37" s="1569" t="s">
        <v>8</v>
      </c>
      <c r="W37" s="1570">
        <f t="shared" si="12"/>
        <v>100</v>
      </c>
      <c r="X37" s="1563"/>
      <c r="Y37" s="3435"/>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6" t="s">
        <v>546</v>
      </c>
      <c r="Q38" s="1568">
        <f t="shared" si="8"/>
        <v>111</v>
      </c>
      <c r="R38" s="1569" t="s">
        <v>8</v>
      </c>
      <c r="S38" s="1570">
        <f t="shared" si="10"/>
        <v>100</v>
      </c>
      <c r="T38" s="1569" t="s">
        <v>8</v>
      </c>
      <c r="U38" s="1570">
        <f t="shared" si="11"/>
        <v>100</v>
      </c>
      <c r="V38" s="1569" t="s">
        <v>8</v>
      </c>
      <c r="W38" s="1570">
        <f t="shared" si="12"/>
        <v>100</v>
      </c>
      <c r="X38" s="1563"/>
      <c r="Y38" s="3437"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37"/>
      <c r="Q39" s="1568">
        <f t="shared" si="8"/>
        <v>111</v>
      </c>
      <c r="R39" s="1573" t="s">
        <v>8</v>
      </c>
      <c r="S39" s="1574">
        <f t="shared" si="10"/>
        <v>100</v>
      </c>
      <c r="T39" s="1573" t="s">
        <v>8</v>
      </c>
      <c r="U39" s="1574">
        <f t="shared" si="11"/>
        <v>100</v>
      </c>
      <c r="V39" s="1573" t="s">
        <v>8</v>
      </c>
      <c r="W39" s="1574">
        <f t="shared" si="12"/>
        <v>100</v>
      </c>
      <c r="X39" s="1575"/>
      <c r="Y39" s="3437"/>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6280</v>
      </c>
      <c r="F40" s="3230">
        <f>LOOKUP(E40,119:119,120:120)-LOOKUP(C40,119:119,120:120)+100</f>
        <v>112</v>
      </c>
      <c r="G40" s="3229">
        <f>面积表!E3</f>
        <v>8198.7999999999993</v>
      </c>
      <c r="H40" s="3230">
        <f>LOOKUP(G40,119:119,120:120)-LOOKUP(C40,119:119,120:120)+100</f>
        <v>112</v>
      </c>
      <c r="I40" s="3231">
        <f>面积表!E4</f>
        <v>9195.2000000000007</v>
      </c>
      <c r="J40" s="3230">
        <f>LOOKUP(I40,119:119,120:120)-LOOKUP(C40,119:119,120:120)+100</f>
        <v>112</v>
      </c>
      <c r="K40" s="580"/>
      <c r="L40" s="2139"/>
      <c r="M40" s="2129"/>
      <c r="N40" s="2129"/>
      <c r="O40" s="2138"/>
      <c r="P40" s="3437"/>
      <c r="Q40" s="1568" t="str">
        <f>B40</f>
        <v>宗地面积</v>
      </c>
      <c r="R40" s="1569" t="s">
        <v>8</v>
      </c>
      <c r="S40" s="1570">
        <f t="shared" si="10"/>
        <v>112</v>
      </c>
      <c r="T40" s="1569" t="s">
        <v>8</v>
      </c>
      <c r="U40" s="1570">
        <f t="shared" si="11"/>
        <v>112</v>
      </c>
      <c r="V40" s="1569" t="s">
        <v>8</v>
      </c>
      <c r="W40" s="1570">
        <f t="shared" si="12"/>
        <v>112</v>
      </c>
      <c r="X40" s="1563"/>
      <c r="Y40" s="3437"/>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3106</v>
      </c>
      <c r="D41" s="539">
        <v>100</v>
      </c>
      <c r="E41" s="598" t="s">
        <v>3106</v>
      </c>
      <c r="F41" s="539">
        <f>SUMIF(121:121,E41,122:122)-SUMIF(121:121,C41,122:122)+100</f>
        <v>100</v>
      </c>
      <c r="G41" s="598" t="s">
        <v>3106</v>
      </c>
      <c r="H41" s="539">
        <f>SUMIF(121:121,G41,122:122)-SUMIF(121:121,C41,122:122)+100</f>
        <v>100</v>
      </c>
      <c r="I41" s="598" t="s">
        <v>3106</v>
      </c>
      <c r="J41" s="539">
        <f>SUMIF(121:121,I41,122:122)-SUMIF(121:121,C41,122:122)+100</f>
        <v>100</v>
      </c>
      <c r="K41" s="583">
        <v>2</v>
      </c>
      <c r="L41" s="2139"/>
      <c r="M41" s="2129"/>
      <c r="N41" s="2129"/>
      <c r="O41" s="2138"/>
      <c r="P41" s="3437"/>
      <c r="Q41" s="1568" t="str">
        <f t="shared" ref="Q41:Q47" si="14">B41</f>
        <v>宗地形状</v>
      </c>
      <c r="R41" s="1569" t="s">
        <v>8</v>
      </c>
      <c r="S41" s="1570">
        <f t="shared" si="10"/>
        <v>100</v>
      </c>
      <c r="T41" s="1569" t="s">
        <v>8</v>
      </c>
      <c r="U41" s="1570">
        <f t="shared" si="11"/>
        <v>100</v>
      </c>
      <c r="V41" s="1569" t="s">
        <v>8</v>
      </c>
      <c r="W41" s="1570">
        <f t="shared" si="12"/>
        <v>100</v>
      </c>
      <c r="X41" s="1563"/>
      <c r="Y41" s="3437"/>
      <c r="Z41" s="1571" t="str">
        <f t="shared" si="13"/>
        <v>宗地形状</v>
      </c>
      <c r="AA41" s="1572">
        <f t="shared" si="3"/>
        <v>1</v>
      </c>
      <c r="AB41" s="1572">
        <f t="shared" si="4"/>
        <v>1</v>
      </c>
      <c r="AC41" s="1572">
        <f t="shared" si="5"/>
        <v>1</v>
      </c>
    </row>
    <row r="42" spans="1:29" ht="20.25">
      <c r="A42" s="593"/>
      <c r="B42" s="526" t="s">
        <v>550</v>
      </c>
      <c r="C42" s="598" t="s">
        <v>3094</v>
      </c>
      <c r="D42" s="539">
        <v>100</v>
      </c>
      <c r="E42" s="598" t="s">
        <v>3094</v>
      </c>
      <c r="F42" s="539">
        <f>SUMIF(123:123,E42,124:124)-SUMIF(123:123,C42,124:124)+100</f>
        <v>100</v>
      </c>
      <c r="G42" s="598" t="s">
        <v>3094</v>
      </c>
      <c r="H42" s="539">
        <f>SUMIF(123:123,G42,124:124)-SUMIF(123:123,C42,124:124)+100</f>
        <v>100</v>
      </c>
      <c r="I42" s="598" t="s">
        <v>3094</v>
      </c>
      <c r="J42" s="539">
        <f>SUMIF(123:123,I42,124:124)-SUMIF(123:123,C42,124:124)+100</f>
        <v>100</v>
      </c>
      <c r="K42" s="583">
        <v>2</v>
      </c>
      <c r="L42" s="2139"/>
      <c r="M42" s="2129"/>
      <c r="N42" s="2129"/>
      <c r="O42" s="2138"/>
      <c r="P42" s="3437"/>
      <c r="Q42" s="1568" t="str">
        <f t="shared" si="14"/>
        <v>临街宽度及深度</v>
      </c>
      <c r="R42" s="1569" t="s">
        <v>8</v>
      </c>
      <c r="S42" s="1570">
        <f t="shared" si="10"/>
        <v>100</v>
      </c>
      <c r="T42" s="1569" t="s">
        <v>8</v>
      </c>
      <c r="U42" s="1570">
        <f t="shared" si="11"/>
        <v>100</v>
      </c>
      <c r="V42" s="1569" t="s">
        <v>8</v>
      </c>
      <c r="W42" s="1570">
        <f t="shared" si="12"/>
        <v>100</v>
      </c>
      <c r="X42" s="1563"/>
      <c r="Y42" s="3437"/>
      <c r="Z42" s="1571" t="str">
        <f t="shared" si="13"/>
        <v>临街宽度及深度</v>
      </c>
      <c r="AA42" s="1572">
        <f t="shared" si="3"/>
        <v>1</v>
      </c>
      <c r="AB42" s="1572">
        <f t="shared" si="4"/>
        <v>1</v>
      </c>
      <c r="AC42" s="1572">
        <f t="shared" si="5"/>
        <v>1</v>
      </c>
    </row>
    <row r="43" spans="1:29" s="1218" customFormat="1" ht="20.25">
      <c r="A43" s="599"/>
      <c r="B43" s="1892" t="s">
        <v>2424</v>
      </c>
      <c r="C43" s="600" t="s">
        <v>3115</v>
      </c>
      <c r="D43" s="254">
        <v>100</v>
      </c>
      <c r="E43" s="600" t="s">
        <v>3115</v>
      </c>
      <c r="F43" s="539">
        <f>SUMIF(125:125,E43,126:126)-SUMIF(125:125,C43,126:126)+100</f>
        <v>100</v>
      </c>
      <c r="G43" s="600" t="s">
        <v>3115</v>
      </c>
      <c r="H43" s="539">
        <f>SUMIF(125:125,G43,126:126)-SUMIF(125:125,C43,126:126)+100</f>
        <v>100</v>
      </c>
      <c r="I43" s="600" t="s">
        <v>3115</v>
      </c>
      <c r="J43" s="539">
        <f>SUMIF(125:125,I43,126:126)-SUMIF(125:125,C43,126:126)+100</f>
        <v>100</v>
      </c>
      <c r="K43" s="583">
        <v>1.5</v>
      </c>
      <c r="L43" s="2132"/>
      <c r="M43" s="2129"/>
      <c r="N43" s="2129"/>
      <c r="O43" s="2134"/>
      <c r="P43" s="3437"/>
      <c r="Q43" s="1568" t="str">
        <f t="shared" si="14"/>
        <v>宗地开发程度</v>
      </c>
      <c r="R43" s="1564" t="s">
        <v>8</v>
      </c>
      <c r="S43" s="1565">
        <f t="shared" si="10"/>
        <v>100</v>
      </c>
      <c r="T43" s="1564" t="s">
        <v>8</v>
      </c>
      <c r="U43" s="1565">
        <f t="shared" si="11"/>
        <v>100</v>
      </c>
      <c r="V43" s="1564" t="s">
        <v>8</v>
      </c>
      <c r="W43" s="1565">
        <f t="shared" si="12"/>
        <v>100</v>
      </c>
      <c r="X43" s="1566"/>
      <c r="Y43" s="3437"/>
      <c r="Z43" s="1148" t="str">
        <f t="shared" si="13"/>
        <v>宗地开发程度</v>
      </c>
      <c r="AA43" s="1567">
        <f t="shared" si="3"/>
        <v>1</v>
      </c>
      <c r="AB43" s="1567">
        <f t="shared" si="4"/>
        <v>1</v>
      </c>
      <c r="AC43" s="1567">
        <f t="shared" si="5"/>
        <v>1</v>
      </c>
    </row>
    <row r="44" spans="1:29" ht="20.25">
      <c r="A44" s="593"/>
      <c r="B44" s="526" t="s">
        <v>551</v>
      </c>
      <c r="C44" s="598" t="s">
        <v>3094</v>
      </c>
      <c r="D44" s="539">
        <v>100</v>
      </c>
      <c r="E44" s="598" t="s">
        <v>3094</v>
      </c>
      <c r="F44" s="539">
        <f>SUMIF(127:127,E44,128:128)-SUMIF(127:127,C44,128:128)+100</f>
        <v>100</v>
      </c>
      <c r="G44" s="598" t="s">
        <v>3094</v>
      </c>
      <c r="H44" s="539">
        <f>SUMIF(127:127,G44,128:128)-SUMIF(127:127,C44,128:128)+100</f>
        <v>100</v>
      </c>
      <c r="I44" s="598" t="s">
        <v>3094</v>
      </c>
      <c r="J44" s="539">
        <f>SUMIF(127:127,I44,128:128)-SUMIF(127:127,C44,128:128)+100</f>
        <v>100</v>
      </c>
      <c r="K44" s="583">
        <v>2</v>
      </c>
      <c r="L44" s="2139"/>
      <c r="M44" s="2129"/>
      <c r="N44" s="2129"/>
      <c r="O44" s="2138"/>
      <c r="P44" s="3437" t="s">
        <v>546</v>
      </c>
      <c r="Q44" s="1568" t="str">
        <f t="shared" si="14"/>
        <v>工程地质条件</v>
      </c>
      <c r="R44" s="1569" t="s">
        <v>8</v>
      </c>
      <c r="S44" s="1570">
        <f t="shared" si="10"/>
        <v>100</v>
      </c>
      <c r="T44" s="1569" t="s">
        <v>8</v>
      </c>
      <c r="U44" s="1570">
        <f t="shared" si="11"/>
        <v>100</v>
      </c>
      <c r="V44" s="1569" t="s">
        <v>8</v>
      </c>
      <c r="W44" s="1570">
        <f t="shared" si="12"/>
        <v>100</v>
      </c>
      <c r="X44" s="1563"/>
      <c r="Y44" s="3437"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37"/>
      <c r="Q45" s="1568">
        <f t="shared" si="14"/>
        <v>111</v>
      </c>
      <c r="R45" s="1569" t="s">
        <v>8</v>
      </c>
      <c r="S45" s="1570">
        <f t="shared" si="10"/>
        <v>100</v>
      </c>
      <c r="T45" s="1569" t="s">
        <v>8</v>
      </c>
      <c r="U45" s="1570">
        <f t="shared" si="11"/>
        <v>100</v>
      </c>
      <c r="V45" s="1569" t="s">
        <v>8</v>
      </c>
      <c r="W45" s="1570">
        <f t="shared" si="12"/>
        <v>100</v>
      </c>
      <c r="X45" s="1563"/>
      <c r="Y45" s="3437"/>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37"/>
      <c r="Q46" s="1568">
        <f t="shared" si="14"/>
        <v>111</v>
      </c>
      <c r="R46" s="1569" t="s">
        <v>8</v>
      </c>
      <c r="S46" s="1570">
        <f t="shared" si="10"/>
        <v>100</v>
      </c>
      <c r="T46" s="1569" t="s">
        <v>8</v>
      </c>
      <c r="U46" s="1570">
        <f t="shared" si="11"/>
        <v>100</v>
      </c>
      <c r="V46" s="1569" t="s">
        <v>8</v>
      </c>
      <c r="W46" s="1570">
        <f t="shared" si="12"/>
        <v>100</v>
      </c>
      <c r="X46" s="1563"/>
      <c r="Y46" s="3437"/>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37"/>
      <c r="Q47" s="1568">
        <f t="shared" si="14"/>
        <v>111</v>
      </c>
      <c r="R47" s="1573" t="s">
        <v>8</v>
      </c>
      <c r="S47" s="1574">
        <f t="shared" si="10"/>
        <v>100</v>
      </c>
      <c r="T47" s="1573" t="s">
        <v>8</v>
      </c>
      <c r="U47" s="1574">
        <f t="shared" si="11"/>
        <v>100</v>
      </c>
      <c r="V47" s="1573" t="s">
        <v>8</v>
      </c>
      <c r="W47" s="1574">
        <f t="shared" si="12"/>
        <v>100</v>
      </c>
      <c r="X47" s="1575"/>
      <c r="Y47" s="3437"/>
      <c r="Z47" s="1576">
        <f t="shared" si="13"/>
        <v>111</v>
      </c>
      <c r="AA47" s="1572">
        <f t="shared" si="3"/>
        <v>1</v>
      </c>
      <c r="AB47" s="1572">
        <f t="shared" si="4"/>
        <v>1</v>
      </c>
      <c r="AC47" s="1572">
        <f t="shared" si="5"/>
        <v>1</v>
      </c>
    </row>
    <row r="48" spans="1:29" ht="20.25">
      <c r="A48" s="606" t="s">
        <v>552</v>
      </c>
      <c r="B48" s="607" t="s">
        <v>3184</v>
      </c>
      <c r="C48" s="608" t="s">
        <v>1</v>
      </c>
      <c r="D48" s="609"/>
      <c r="E48" s="610">
        <f>面积表!N2</f>
        <v>20430</v>
      </c>
      <c r="F48" s="611"/>
      <c r="G48" s="610">
        <f>面积表!N3</f>
        <v>22950</v>
      </c>
      <c r="H48" s="613"/>
      <c r="I48" s="610">
        <f>面积表!N4</f>
        <v>18375</v>
      </c>
      <c r="J48" s="613"/>
      <c r="K48" s="1338"/>
      <c r="L48" s="2141"/>
      <c r="M48" s="2129"/>
      <c r="N48" s="2129"/>
      <c r="O48" s="2142"/>
      <c r="P48" s="3432" t="str">
        <f>A48</f>
        <v>成交单价</v>
      </c>
      <c r="Q48" s="3432"/>
      <c r="R48" s="3446">
        <f>E48</f>
        <v>20430</v>
      </c>
      <c r="S48" s="3446"/>
      <c r="T48" s="3446">
        <f>G48</f>
        <v>22950</v>
      </c>
      <c r="U48" s="3446"/>
      <c r="V48" s="3446">
        <f>I48</f>
        <v>18375</v>
      </c>
      <c r="W48" s="3446"/>
      <c r="X48" s="1555"/>
      <c r="Y48" s="1577"/>
      <c r="Z48" s="1555"/>
      <c r="AA48" s="1555"/>
      <c r="AB48" s="1555"/>
      <c r="AC48" s="1555"/>
    </row>
    <row r="49" spans="1:29" ht="21" thickBot="1">
      <c r="A49" s="614" t="s">
        <v>2693</v>
      </c>
      <c r="B49" s="615"/>
      <c r="C49" s="616">
        <f>R50</f>
        <v>16710</v>
      </c>
      <c r="D49" s="617"/>
      <c r="E49" s="616">
        <f>R49</f>
        <v>16765</v>
      </c>
      <c r="F49" s="618"/>
      <c r="G49" s="619">
        <f>T49</f>
        <v>18195</v>
      </c>
      <c r="H49" s="617"/>
      <c r="I49" s="616">
        <f>V49</f>
        <v>15170</v>
      </c>
      <c r="J49" s="617"/>
      <c r="K49" s="1339"/>
      <c r="L49" s="2141"/>
      <c r="M49" s="2129"/>
      <c r="N49" s="2129"/>
      <c r="O49" s="2142"/>
      <c r="P49" s="3432" t="str">
        <f>A49</f>
        <v>比较价格（元/平方米）</v>
      </c>
      <c r="Q49" s="3432"/>
      <c r="R49" s="3456">
        <f>ROUND(PRODUCT(R48,AA9:AA47),0)</f>
        <v>16765</v>
      </c>
      <c r="S49" s="3456"/>
      <c r="T49" s="3456">
        <f>ROUND(PRODUCT(T48,AB9:AB47),0)</f>
        <v>18195</v>
      </c>
      <c r="U49" s="3456"/>
      <c r="V49" s="3456">
        <f>ROUND(PRODUCT(V48,AC9:AC47),0)</f>
        <v>15170</v>
      </c>
      <c r="W49" s="3456"/>
      <c r="X49" s="1555"/>
      <c r="Y49" s="1555"/>
      <c r="Z49" s="1555"/>
      <c r="AA49" s="1555"/>
      <c r="AB49" s="1555"/>
      <c r="AC49" s="1555"/>
    </row>
    <row r="50" spans="1:29" ht="21" thickBot="1">
      <c r="A50" s="620" t="s">
        <v>2933</v>
      </c>
      <c r="B50" s="621"/>
      <c r="C50" s="622">
        <f>R50</f>
        <v>16710</v>
      </c>
      <c r="D50" s="622"/>
      <c r="E50" s="622"/>
      <c r="F50" s="622"/>
      <c r="G50" s="622"/>
      <c r="H50" s="622"/>
      <c r="I50" s="622"/>
      <c r="J50" s="622"/>
      <c r="K50" s="1340"/>
      <c r="L50" s="2141"/>
      <c r="M50" s="2129"/>
      <c r="N50" s="2129"/>
      <c r="O50" s="2142"/>
      <c r="P50" s="3453" t="str">
        <f>A50</f>
        <v>估价对象XX用房的比较价格（楼面单价，元/平方米）</v>
      </c>
      <c r="Q50" s="3454"/>
      <c r="R50" s="3455">
        <f>ROUND(AVERAGE(R49:V49),0)</f>
        <v>16710</v>
      </c>
      <c r="S50" s="3455"/>
      <c r="T50" s="3455"/>
      <c r="U50" s="3455"/>
      <c r="V50" s="3455"/>
      <c r="W50" s="3455"/>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0.21861019982105567</v>
      </c>
      <c r="F53" s="626" t="str">
        <f>IF(OR(E53&gt;=0.3,E53&lt;=-0.3),"超过30%","")</f>
        <v/>
      </c>
      <c r="G53" s="625">
        <f>IF(G48&lt;G49,G49/G48-1,G48/G49-1)</f>
        <v>0.26133553173948898</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8.5296749179838871E-2</v>
      </c>
      <c r="F54" s="626" t="str">
        <f>IF(OR(E54&gt;=0.2,E54&lt;=-0.2),"超过20%","")</f>
        <v/>
      </c>
      <c r="G54" s="625">
        <f>IF(G49&lt;I49,I49/G49-1,G49/I49-1)</f>
        <v>0.19940672379696767</v>
      </c>
      <c r="H54" s="626" t="str">
        <f>IF(OR(G54&gt;=0.2,G54&lt;=-0.2),"超过20%","")</f>
        <v/>
      </c>
      <c r="I54" s="625">
        <f>IF(I49&lt;E49,E49/I49-1,I49/E49-1)</f>
        <v>0.10514172709294667</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0.24897959183673479</v>
      </c>
      <c r="H55" s="626" t="str">
        <f>IF(OR(G55&gt;=0.3,G55&lt;=-0.3),"超过30%","")</f>
        <v/>
      </c>
      <c r="I55" s="625">
        <f>IF(I48&lt;E48,E48/I48-1,I48/E48-1)</f>
        <v>0.11183673469387756</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16" t="s">
        <v>2280</v>
      </c>
      <c r="H57" s="3417"/>
      <c r="I57" s="1551" t="s">
        <v>1719</v>
      </c>
      <c r="J57" s="1551">
        <f>项目基本情况!F41</f>
        <v>0</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16710</v>
      </c>
      <c r="C58" s="634">
        <v>1</v>
      </c>
      <c r="D58" s="2225">
        <v>1</v>
      </c>
      <c r="E58" s="634">
        <f>'数据-汇总表'!E8+'数据-汇总表'!E9</f>
        <v>173893.65</v>
      </c>
      <c r="F58" s="635">
        <f t="shared" ref="F58:F67" si="15">ROUND(B58*E58/10000,0)</f>
        <v>290576</v>
      </c>
      <c r="G58" s="3418"/>
      <c r="H58" s="3419"/>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2507</v>
      </c>
      <c r="C59" s="377">
        <f t="shared" ref="C59:C67" si="16">IF($C$57="北京市系数",I59,J59)</f>
        <v>0.6</v>
      </c>
      <c r="D59" s="2226">
        <v>0.25</v>
      </c>
      <c r="E59" s="638">
        <v>0</v>
      </c>
      <c r="F59" s="635">
        <f t="shared" si="15"/>
        <v>0</v>
      </c>
      <c r="G59" s="3420"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1253</v>
      </c>
      <c r="C60" s="377">
        <f t="shared" si="16"/>
        <v>0.3</v>
      </c>
      <c r="D60" s="2226">
        <v>0.25</v>
      </c>
      <c r="E60" s="638">
        <v>0</v>
      </c>
      <c r="F60" s="635">
        <f t="shared" si="15"/>
        <v>0</v>
      </c>
      <c r="G60" s="3420"/>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836</v>
      </c>
      <c r="C61" s="377">
        <f t="shared" si="16"/>
        <v>0.2</v>
      </c>
      <c r="D61" s="2226">
        <v>0.25</v>
      </c>
      <c r="E61" s="638">
        <v>0</v>
      </c>
      <c r="F61" s="635">
        <f t="shared" si="15"/>
        <v>0</v>
      </c>
      <c r="G61" s="3420"/>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836</v>
      </c>
      <c r="C62" s="377">
        <f t="shared" si="16"/>
        <v>0.2</v>
      </c>
      <c r="D62" s="2226">
        <v>0.25</v>
      </c>
      <c r="E62" s="638">
        <v>0</v>
      </c>
      <c r="F62" s="635">
        <f t="shared" si="15"/>
        <v>0</v>
      </c>
      <c r="G62" s="3420"/>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836</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836</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627</v>
      </c>
      <c r="C65" s="377">
        <f t="shared" si="16"/>
        <v>0.15</v>
      </c>
      <c r="D65" s="2226">
        <v>0.25</v>
      </c>
      <c r="E65" s="640">
        <f>'数据-汇总表'!E13</f>
        <v>33683.65</v>
      </c>
      <c r="F65" s="635">
        <f t="shared" si="15"/>
        <v>2112</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103390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3119</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3152</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3090</v>
      </c>
      <c r="D84" s="1373" t="s">
        <v>3095</v>
      </c>
      <c r="E84" s="3210" t="s">
        <v>3096</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3099</v>
      </c>
      <c r="D108" s="3210" t="s">
        <v>3100</v>
      </c>
      <c r="E108" s="3210" t="s">
        <v>3101</v>
      </c>
      <c r="F108" s="3210" t="s">
        <v>3103</v>
      </c>
      <c r="G108" s="3210" t="s">
        <v>3104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3105</v>
      </c>
      <c r="D121" s="3213" t="s">
        <v>3107</v>
      </c>
      <c r="E121" s="3213" t="s">
        <v>3108</v>
      </c>
      <c r="F121" s="3213" t="s">
        <v>3109</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3110</v>
      </c>
      <c r="D123" s="687" t="s">
        <v>3094</v>
      </c>
      <c r="E123" s="687" t="s">
        <v>3092</v>
      </c>
      <c r="F123" s="717" t="s">
        <v>3093</v>
      </c>
      <c r="G123" s="717" t="s">
        <v>3111</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3097</v>
      </c>
      <c r="D125" s="1373" t="s">
        <v>3112</v>
      </c>
      <c r="E125" s="1373" t="s">
        <v>3113</v>
      </c>
      <c r="F125" s="1373" t="s">
        <v>3114</v>
      </c>
      <c r="G125" s="1373" t="s">
        <v>3115</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3110</v>
      </c>
      <c r="D127" s="687" t="s">
        <v>3094</v>
      </c>
      <c r="E127" s="717" t="s">
        <v>3092</v>
      </c>
      <c r="F127" s="717" t="s">
        <v>3093</v>
      </c>
      <c r="G127" s="717" t="s">
        <v>3111</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8" sqref="L1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115611</v>
      </c>
      <c r="C2" s="2101"/>
      <c r="D2" s="2101"/>
      <c r="E2" s="2101"/>
      <c r="F2" s="2101"/>
      <c r="G2" s="2101"/>
      <c r="H2" s="2101"/>
      <c r="I2" s="2101"/>
      <c r="J2" s="2101"/>
      <c r="K2" s="2101"/>
    </row>
    <row r="3" spans="1:31" s="2038" customFormat="1" ht="18" customHeight="1">
      <c r="A3" s="2103" t="s">
        <v>1681</v>
      </c>
      <c r="B3" s="2104">
        <f ca="1">ROUND(B2*10000/IF(B1="",'数据-汇总表'!E3,INDIRECT("'数据-取费表'!K"&amp;$K$1)),0)</f>
        <v>5463</v>
      </c>
      <c r="C3" s="2101"/>
      <c r="D3" s="2101"/>
      <c r="E3" s="2101"/>
      <c r="F3" s="2101"/>
      <c r="G3" s="2101"/>
      <c r="H3" s="2101"/>
      <c r="I3" s="2101"/>
      <c r="J3" s="2101"/>
      <c r="K3" s="2101"/>
    </row>
    <row r="4" spans="1:31" s="2038" customFormat="1" ht="18" customHeight="1">
      <c r="A4" s="425" t="s">
        <v>464</v>
      </c>
      <c r="B4" s="426">
        <f ca="1">ROUND(B2*10000/IF(B1="",'数据-汇总表'!D3,INDIRECT("'数据-取费表'!R"&amp;$K$1)),0)</f>
        <v>18685</v>
      </c>
      <c r="C4" s="427"/>
      <c r="D4" s="421"/>
      <c r="E4" s="421"/>
      <c r="F4" s="421"/>
      <c r="G4" s="421"/>
      <c r="H4" s="421"/>
      <c r="I4" s="421"/>
      <c r="J4" s="421"/>
      <c r="K4" s="421"/>
    </row>
    <row r="5" spans="1:31" s="2038" customFormat="1" ht="18" customHeight="1" thickBot="1">
      <c r="A5" s="428"/>
      <c r="B5" s="429">
        <f ca="1">ROUND(B2/(IF(B1="",'数据-汇总表'!D3,INDIRECT("'数据-取费表'!R"&amp;$K$1))/666.67),0)</f>
        <v>1246</v>
      </c>
      <c r="C5" s="430" t="s">
        <v>465</v>
      </c>
      <c r="D5" s="421"/>
      <c r="E5" s="421"/>
      <c r="F5" s="421"/>
      <c r="G5" s="421"/>
      <c r="H5" s="421"/>
      <c r="I5" s="421"/>
      <c r="J5" s="421"/>
      <c r="K5" s="421"/>
    </row>
    <row r="6" spans="1:31" s="2108" customFormat="1" ht="16.5" customHeight="1">
      <c r="A6" s="2849" t="s">
        <v>1839</v>
      </c>
      <c r="B6" s="2850"/>
      <c r="C6" s="2851">
        <f ca="1">SUM(C10:K10)</f>
        <v>264651</v>
      </c>
      <c r="D6" s="2850"/>
      <c r="E6" s="2850"/>
      <c r="F6" s="2850"/>
      <c r="G6" s="2850"/>
      <c r="H6" s="2850"/>
      <c r="I6" s="2850"/>
      <c r="J6" s="2850"/>
      <c r="K6" s="2852"/>
    </row>
    <row r="7" spans="1:31" s="2110" customFormat="1" ht="15">
      <c r="A7" s="2853" t="s">
        <v>466</v>
      </c>
      <c r="B7" s="2854" t="s">
        <v>467</v>
      </c>
      <c r="C7" s="435" t="s">
        <v>3207</v>
      </c>
      <c r="D7" s="435" t="s">
        <v>3070</v>
      </c>
      <c r="E7" s="435" t="s">
        <v>3171</v>
      </c>
      <c r="F7" s="435" t="s">
        <v>35</v>
      </c>
      <c r="G7" s="435" t="s">
        <v>3205</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15387</v>
      </c>
      <c r="E8" s="2855">
        <f ca="1">不动产收益法底!B3</f>
        <v>16947</v>
      </c>
      <c r="F8" s="2855">
        <f ca="1">不动产收益法车!C43</f>
        <v>2533</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20855</v>
      </c>
      <c r="E10" s="3046">
        <f ca="1">不动产收益法底!B2</f>
        <v>11076</v>
      </c>
      <c r="F10" s="2858">
        <f ca="1">不动产收益法车!B2</f>
        <v>8533</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88655</v>
      </c>
    </row>
    <row r="13" spans="1:31" s="2113" customFormat="1" ht="13.5" customHeight="1">
      <c r="A13" s="2863" t="s">
        <v>1845</v>
      </c>
      <c r="B13" s="2864" t="s">
        <v>475</v>
      </c>
      <c r="C13" s="449">
        <f ca="1">IF(B1="",'数据-取费表'!P16,INDIRECT("'数据-取费表'!p"&amp;$K$1)+INDIRECT("'数据-取费表'!t"&amp;$K$1))</f>
        <v>69287</v>
      </c>
      <c r="D13" s="2865"/>
      <c r="E13" s="2866"/>
      <c r="F13" s="2867"/>
      <c r="G13" s="2833"/>
      <c r="H13" s="2834"/>
      <c r="I13" s="2834"/>
      <c r="J13" s="2834"/>
      <c r="K13" s="2835"/>
    </row>
    <row r="14" spans="1:31" s="2113" customFormat="1" ht="13.5" customHeight="1">
      <c r="A14" s="2863" t="s">
        <v>1846</v>
      </c>
      <c r="B14" s="2864" t="s">
        <v>476</v>
      </c>
      <c r="C14" s="53">
        <f ca="1">ROUND(C13*F14,0)</f>
        <v>2079</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0.05</v>
      </c>
      <c r="G15" s="2833" t="s">
        <v>479</v>
      </c>
      <c r="H15" s="2834"/>
      <c r="I15" s="2834"/>
      <c r="J15" s="2834"/>
      <c r="K15" s="2835"/>
    </row>
    <row r="16" spans="1:31" s="2114" customFormat="1" ht="13.5" customHeight="1">
      <c r="A16" s="2863" t="s">
        <v>1848</v>
      </c>
      <c r="B16" s="2864" t="s">
        <v>480</v>
      </c>
      <c r="C16" s="53">
        <f ca="1">ROUND(D16*E16/10000,0)</f>
        <v>3809</v>
      </c>
      <c r="D16" s="2865">
        <f ca="1">IF(B1="",'数据-汇总表'!E3,INDIRECT("'数据-取费表'!K"&amp;$K$1)+INDIRECT("'数据-取费表'!S"&amp;$K$1))</f>
        <v>211607.65</v>
      </c>
      <c r="E16" s="53">
        <f>'数据-取费表'!B35</f>
        <v>180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1039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76214</v>
      </c>
      <c r="D18" s="2874"/>
      <c r="E18" s="467"/>
      <c r="F18" s="467"/>
      <c r="G18" s="2837" t="s">
        <v>2430</v>
      </c>
      <c r="H18" s="2838"/>
      <c r="I18" s="2838"/>
      <c r="J18" s="2838"/>
      <c r="K18" s="2839"/>
    </row>
    <row r="19" spans="1:14" s="2113" customFormat="1" ht="13.5" customHeight="1">
      <c r="A19" s="2871" t="s">
        <v>1851</v>
      </c>
      <c r="B19" s="2872" t="s">
        <v>484</v>
      </c>
      <c r="C19" s="2829">
        <f ca="1">ROUND(D19*E19/10000,0)</f>
        <v>1904</v>
      </c>
      <c r="D19" s="2875">
        <f ca="1">D16</f>
        <v>211607.65</v>
      </c>
      <c r="E19" s="2829">
        <f>'数据-取费表'!B32</f>
        <v>90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2009</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94.92</v>
      </c>
      <c r="F21" s="2868"/>
      <c r="G21" s="26"/>
      <c r="H21" s="51"/>
      <c r="I21" s="51"/>
      <c r="J21" s="51"/>
      <c r="K21" s="2840"/>
    </row>
    <row r="22" spans="1:14" s="2113" customFormat="1" ht="13.5" customHeight="1">
      <c r="A22" s="2863" t="s">
        <v>1854</v>
      </c>
      <c r="B22" s="2864" t="s">
        <v>488</v>
      </c>
      <c r="C22" s="53">
        <f ca="1">ROUND(D22*E22/10000,0)</f>
        <v>2009</v>
      </c>
      <c r="D22" s="2865">
        <f ca="1">IF(B1="",'数据-汇总表'!E6,IF(INDIRECT("'数据-取费表'!c"&amp;$K$1)="住宅",INDIRECT("'数据-取费表'!s"&amp;$K$1),INDIRECT("'数据-取费表'!k"&amp;$K$1)+INDIRECT("'数据-取费表'!s"&amp;$K$1)))</f>
        <v>211607.65</v>
      </c>
      <c r="E22" s="53">
        <f>'数据-取费表'!B28</f>
        <v>94.92</v>
      </c>
      <c r="F22" s="2868"/>
      <c r="G22" s="26"/>
      <c r="H22" s="51"/>
      <c r="I22" s="51"/>
      <c r="J22" s="51"/>
      <c r="K22" s="2840"/>
    </row>
    <row r="23" spans="1:14" s="2113" customFormat="1" ht="13.5" customHeight="1">
      <c r="A23" s="2871" t="s">
        <v>1855</v>
      </c>
      <c r="B23" s="3052" t="s">
        <v>2834</v>
      </c>
      <c r="C23" s="2873">
        <f ca="1">ROUND((C18+C19+C20)*F23,0)</f>
        <v>1603</v>
      </c>
      <c r="D23" s="467"/>
      <c r="E23" s="467"/>
      <c r="F23" s="2877">
        <f>'数据-取费表'!B37</f>
        <v>0.02</v>
      </c>
      <c r="G23" s="2833" t="s">
        <v>2431</v>
      </c>
      <c r="H23" s="2834"/>
      <c r="I23" s="2834"/>
      <c r="J23" s="2834"/>
      <c r="K23" s="2835"/>
      <c r="L23" s="2115"/>
      <c r="M23" s="2115"/>
      <c r="N23" s="2115"/>
    </row>
    <row r="24" spans="1:14" s="2113" customFormat="1" ht="13.5" customHeight="1">
      <c r="A24" s="2871" t="s">
        <v>1856</v>
      </c>
      <c r="B24" s="3052" t="s">
        <v>2837</v>
      </c>
      <c r="C24" s="2873">
        <f ca="1">ROUND(C6*F24,0)</f>
        <v>5293</v>
      </c>
      <c r="D24" s="474"/>
      <c r="E24" s="472"/>
      <c r="F24" s="2877">
        <f>'数据-取费表'!B38</f>
        <v>0.02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4134</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4134</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14115</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105272</v>
      </c>
      <c r="D30" s="476">
        <f ca="1">C32</f>
        <v>0.12909999999999999</v>
      </c>
      <c r="E30" s="468" t="s">
        <v>491</v>
      </c>
      <c r="F30" s="470"/>
      <c r="G30" s="2841" t="s">
        <v>2973</v>
      </c>
      <c r="H30" s="2834"/>
      <c r="I30" s="2834"/>
      <c r="J30" s="2834"/>
      <c r="K30" s="2835"/>
    </row>
    <row r="31" spans="1:14" s="2117" customFormat="1" ht="13.5" customHeight="1">
      <c r="A31" s="802" t="s">
        <v>1853</v>
      </c>
      <c r="B31" s="2879"/>
      <c r="C31" s="449">
        <f ca="1">C18+C19+C20+C23+C24+C26+C29</f>
        <v>105272</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12183</v>
      </c>
      <c r="D33" s="466">
        <f ca="1">C34</f>
        <v>0.14410000000000001</v>
      </c>
      <c r="E33" s="468" t="s">
        <v>491</v>
      </c>
      <c r="F33" s="478">
        <f ca="1">IF(B1="",'数据-取费表'!Q16,INDIRECT("'数据-取费表'!q"&amp;$K$1))</f>
        <v>0.14000000000000001</v>
      </c>
      <c r="G33" s="2837"/>
      <c r="H33" s="2838"/>
      <c r="I33" s="2838"/>
      <c r="J33" s="2838"/>
      <c r="K33" s="2839"/>
    </row>
    <row r="34" spans="1:11" s="2120" customFormat="1" ht="13.5" customHeight="1">
      <c r="A34" s="374" t="s">
        <v>1853</v>
      </c>
      <c r="B34" s="2884" t="s">
        <v>497</v>
      </c>
      <c r="C34" s="471">
        <f ca="1">ROUND((1+C25)*F33,4)</f>
        <v>0.14410000000000001</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12183</v>
      </c>
      <c r="D35" s="1625"/>
      <c r="E35" s="2885"/>
      <c r="F35" s="1626"/>
      <c r="G35" s="2843"/>
      <c r="H35" s="2844"/>
      <c r="I35" s="2844"/>
      <c r="J35" s="2844"/>
      <c r="K35" s="2845"/>
    </row>
    <row r="36" spans="1:11" s="2082" customFormat="1" ht="13.5" customHeight="1" thickBot="1">
      <c r="A36" s="283" t="s">
        <v>1841</v>
      </c>
      <c r="B36" s="2847"/>
      <c r="C36" s="2886">
        <f ca="1">ROUND((C6-C30-C33)/(1+D30+D33),0)</f>
        <v>115611</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69287</v>
      </c>
      <c r="D13" s="450"/>
      <c r="E13" s="364"/>
      <c r="F13" s="451"/>
      <c r="G13" s="443"/>
      <c r="H13" s="446"/>
      <c r="I13" s="446"/>
      <c r="J13" s="446"/>
      <c r="K13" s="447"/>
    </row>
    <row r="14" spans="1:41" s="2113" customFormat="1" ht="13.5" customHeight="1">
      <c r="A14" s="1629" t="s">
        <v>1846</v>
      </c>
      <c r="B14" s="448" t="s">
        <v>476</v>
      </c>
      <c r="C14" s="53">
        <f ca="1">ROUND(C13*F14,0)</f>
        <v>2079</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0.05</v>
      </c>
      <c r="G15" s="443" t="s">
        <v>498</v>
      </c>
      <c r="H15" s="446"/>
      <c r="I15" s="446"/>
      <c r="J15" s="446"/>
      <c r="K15" s="447"/>
    </row>
    <row r="16" spans="1:41" s="2114" customFormat="1" ht="13.5" customHeight="1">
      <c r="A16" s="1629" t="s">
        <v>1848</v>
      </c>
      <c r="B16" s="448" t="s">
        <v>480</v>
      </c>
      <c r="C16" s="53">
        <f ca="1">ROUND(D16*E16/10000,0)</f>
        <v>3809</v>
      </c>
      <c r="D16" s="450">
        <f ca="1">IF(B1="",'数据-汇总表'!E3,INDIRECT("'数据-取费表'!K"&amp;$K$1)+INDIRECT("'数据-取费表'!S"&amp;$K$1))</f>
        <v>211607.65</v>
      </c>
      <c r="E16" s="53">
        <f>'数据-取费表'!B35</f>
        <v>180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1039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76214</v>
      </c>
      <c r="D18" s="460"/>
      <c r="E18" s="461"/>
      <c r="F18" s="461"/>
      <c r="G18" s="1325" t="s">
        <v>2432</v>
      </c>
      <c r="H18" s="446"/>
      <c r="I18" s="446"/>
      <c r="J18" s="446"/>
      <c r="K18" s="447"/>
    </row>
    <row r="19" spans="1:14" s="2116" customFormat="1" ht="13.5" customHeight="1">
      <c r="A19" s="1630" t="s">
        <v>1851</v>
      </c>
      <c r="B19" s="458" t="s">
        <v>489</v>
      </c>
      <c r="C19" s="459">
        <f ca="1">ROUND(C18*F19,0)</f>
        <v>1524</v>
      </c>
      <c r="D19" s="461"/>
      <c r="E19" s="461"/>
      <c r="F19" s="465">
        <f>'数据-取费表'!B37</f>
        <v>0.02</v>
      </c>
      <c r="G19" s="443" t="s">
        <v>499</v>
      </c>
      <c r="H19" s="446"/>
      <c r="I19" s="446"/>
      <c r="J19" s="446"/>
      <c r="K19" s="447"/>
      <c r="L19" s="2118"/>
      <c r="M19" s="2118"/>
      <c r="N19" s="2118"/>
    </row>
    <row r="20" spans="1:14" s="2116" customFormat="1" ht="13.5" customHeight="1">
      <c r="A20" s="1630" t="s">
        <v>1852</v>
      </c>
      <c r="B20" s="458" t="s">
        <v>500</v>
      </c>
      <c r="C20" s="3047">
        <f>F20</f>
        <v>0.02</v>
      </c>
      <c r="D20" s="468" t="s">
        <v>501</v>
      </c>
      <c r="E20" s="468"/>
      <c r="F20" s="485">
        <f>'数据-取费表'!B38</f>
        <v>0.02</v>
      </c>
      <c r="G20" s="1325" t="s">
        <v>502</v>
      </c>
      <c r="H20" s="446"/>
      <c r="I20" s="446"/>
      <c r="J20" s="446"/>
      <c r="K20" s="447"/>
      <c r="L20" s="2118"/>
      <c r="M20" s="2118"/>
      <c r="N20" s="2118"/>
    </row>
    <row r="21" spans="1:14" s="2118" customFormat="1" ht="13.5" customHeight="1">
      <c r="A21" s="1630" t="s">
        <v>1855</v>
      </c>
      <c r="B21" s="460" t="s">
        <v>490</v>
      </c>
      <c r="C21" s="469">
        <f ca="1">C22</f>
        <v>3693</v>
      </c>
      <c r="D21" s="466">
        <f ca="1">C23</f>
        <v>1E-3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3693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10883</v>
      </c>
      <c r="D24" s="488">
        <f ca="1">C26</f>
        <v>2.8E-3</v>
      </c>
      <c r="E24" s="468" t="s">
        <v>503</v>
      </c>
      <c r="F24" s="478">
        <f ca="1">IF(B1="",'数据-取费表'!Q16,INDIRECT("'数据-取费表'!q"&amp;$K$1))</f>
        <v>0.14000000000000001</v>
      </c>
      <c r="G24" s="443"/>
      <c r="H24" s="446"/>
      <c r="I24" s="446"/>
      <c r="J24" s="446"/>
      <c r="K24" s="447"/>
    </row>
    <row r="25" spans="1:14" s="2117" customFormat="1" ht="13.5" customHeight="1">
      <c r="A25" s="1629" t="s">
        <v>1845</v>
      </c>
      <c r="B25" s="1326" t="s">
        <v>2436</v>
      </c>
      <c r="C25" s="489">
        <f ca="1">ROUND((C18+C19)*F24,0)</f>
        <v>10883</v>
      </c>
      <c r="D25" s="471"/>
      <c r="E25" s="472"/>
      <c r="F25" s="479"/>
      <c r="G25" s="1324" t="s">
        <v>2433</v>
      </c>
      <c r="H25" s="456"/>
      <c r="I25" s="456"/>
      <c r="J25" s="456"/>
      <c r="K25" s="457"/>
    </row>
    <row r="26" spans="1:14" s="2117" customFormat="1" ht="13.5" customHeight="1">
      <c r="A26" s="1629" t="s">
        <v>1846</v>
      </c>
      <c r="B26" s="1326" t="s">
        <v>505</v>
      </c>
      <c r="C26" s="490">
        <f ca="1">ROUND(F20*F24,4)</f>
        <v>2.8E-3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100026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38" t="s">
        <v>518</v>
      </c>
      <c r="D6" s="3439"/>
      <c r="E6" s="3462" t="s">
        <v>519</v>
      </c>
      <c r="F6" s="3463"/>
      <c r="G6" s="3438" t="s">
        <v>520</v>
      </c>
      <c r="H6" s="3439"/>
      <c r="I6" s="3438" t="s">
        <v>521</v>
      </c>
      <c r="J6" s="3439"/>
      <c r="K6" s="513" t="s">
        <v>522</v>
      </c>
      <c r="L6" s="2130"/>
      <c r="M6" s="2131"/>
      <c r="N6" s="2131"/>
      <c r="O6" s="2131"/>
      <c r="P6" s="3440" t="s">
        <v>523</v>
      </c>
      <c r="Q6" s="3441"/>
      <c r="R6" s="3426" t="s">
        <v>519</v>
      </c>
      <c r="S6" s="3427"/>
      <c r="T6" s="3426" t="s">
        <v>520</v>
      </c>
      <c r="U6" s="3427"/>
      <c r="V6" s="3446" t="s">
        <v>521</v>
      </c>
      <c r="W6" s="3446"/>
      <c r="X6" s="1563"/>
      <c r="Y6" s="3426" t="s">
        <v>523</v>
      </c>
      <c r="Z6" s="3427"/>
      <c r="AA6" s="3421" t="s">
        <v>519</v>
      </c>
      <c r="AB6" s="3422" t="s">
        <v>520</v>
      </c>
      <c r="AC6" s="3421" t="s">
        <v>521</v>
      </c>
    </row>
    <row r="7" spans="1:29" ht="15">
      <c r="A7" s="514"/>
      <c r="B7" s="515"/>
      <c r="C7" s="3449" t="s">
        <v>2927</v>
      </c>
      <c r="D7" s="3450"/>
      <c r="E7" s="3464" t="s">
        <v>2928</v>
      </c>
      <c r="F7" s="3465"/>
      <c r="G7" s="3449" t="s">
        <v>2929</v>
      </c>
      <c r="H7" s="3450"/>
      <c r="I7" s="3449" t="s">
        <v>2930</v>
      </c>
      <c r="J7" s="3450"/>
      <c r="K7" s="513"/>
      <c r="L7" s="2130"/>
      <c r="M7" s="2131"/>
      <c r="N7" s="2131"/>
      <c r="O7" s="2131"/>
      <c r="P7" s="3442"/>
      <c r="Q7" s="3443"/>
      <c r="R7" s="3428"/>
      <c r="S7" s="3429"/>
      <c r="T7" s="3428"/>
      <c r="U7" s="3429"/>
      <c r="V7" s="3446"/>
      <c r="W7" s="3446"/>
      <c r="X7" s="1563"/>
      <c r="Y7" s="3428"/>
      <c r="Z7" s="3429"/>
      <c r="AA7" s="3422"/>
      <c r="AB7" s="3422"/>
      <c r="AC7" s="3422"/>
    </row>
    <row r="8" spans="1:29" ht="15.75" thickBot="1">
      <c r="A8" s="516"/>
      <c r="B8" s="517"/>
      <c r="C8" s="3447" t="s">
        <v>2931</v>
      </c>
      <c r="D8" s="3448"/>
      <c r="E8" s="3466" t="s">
        <v>2931</v>
      </c>
      <c r="F8" s="3467"/>
      <c r="G8" s="3447" t="s">
        <v>2931</v>
      </c>
      <c r="H8" s="3448"/>
      <c r="I8" s="3447" t="s">
        <v>2931</v>
      </c>
      <c r="J8" s="3448"/>
      <c r="K8" s="513" t="s">
        <v>524</v>
      </c>
      <c r="L8" s="2130"/>
      <c r="M8" s="2131"/>
      <c r="N8" s="2131"/>
      <c r="O8" s="2131"/>
      <c r="P8" s="3444"/>
      <c r="Q8" s="3445"/>
      <c r="R8" s="3428"/>
      <c r="S8" s="3429"/>
      <c r="T8" s="3430"/>
      <c r="U8" s="3431"/>
      <c r="V8" s="3446"/>
      <c r="W8" s="3446"/>
      <c r="X8" s="1563"/>
      <c r="Y8" s="3430"/>
      <c r="Z8" s="3431"/>
      <c r="AA8" s="3423"/>
      <c r="AB8" s="3423"/>
      <c r="AC8" s="3423"/>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4" t="s">
        <v>526</v>
      </c>
      <c r="Q9" s="3433"/>
      <c r="R9" s="1564" t="s">
        <v>8</v>
      </c>
      <c r="S9" s="1565">
        <f t="shared" ref="S9:S17" si="0">F9</f>
        <v>0</v>
      </c>
      <c r="T9" s="1564" t="s">
        <v>8</v>
      </c>
      <c r="U9" s="1565">
        <f t="shared" ref="U9:U17" si="1">H9</f>
        <v>0</v>
      </c>
      <c r="V9" s="1564" t="s">
        <v>8</v>
      </c>
      <c r="W9" s="1565">
        <f t="shared" ref="W9:W17" si="2">J9</f>
        <v>0</v>
      </c>
      <c r="X9" s="1566"/>
      <c r="Y9" s="3424" t="s">
        <v>526</v>
      </c>
      <c r="Z9" s="3425"/>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4" t="s">
        <v>529</v>
      </c>
      <c r="Q10" s="3425"/>
      <c r="R10" s="1564" t="s">
        <v>8</v>
      </c>
      <c r="S10" s="1565">
        <f t="shared" si="0"/>
        <v>0</v>
      </c>
      <c r="T10" s="1564" t="s">
        <v>8</v>
      </c>
      <c r="U10" s="1565">
        <f t="shared" si="1"/>
        <v>0</v>
      </c>
      <c r="V10" s="1564" t="s">
        <v>8</v>
      </c>
      <c r="W10" s="1565">
        <f t="shared" si="2"/>
        <v>0</v>
      </c>
      <c r="X10" s="1566"/>
      <c r="Y10" s="3424" t="s">
        <v>529</v>
      </c>
      <c r="Z10" s="3425"/>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2" t="s">
        <v>531</v>
      </c>
      <c r="Q11" s="1149" t="str">
        <f t="shared" ref="Q11:Q17" si="6">B11</f>
        <v>用途</v>
      </c>
      <c r="R11" s="1564" t="s">
        <v>8</v>
      </c>
      <c r="S11" s="1565">
        <f t="shared" si="0"/>
        <v>100</v>
      </c>
      <c r="T11" s="1564" t="s">
        <v>8</v>
      </c>
      <c r="U11" s="1565">
        <f t="shared" si="1"/>
        <v>100</v>
      </c>
      <c r="V11" s="1564" t="s">
        <v>8</v>
      </c>
      <c r="W11" s="1565">
        <f t="shared" si="2"/>
        <v>100</v>
      </c>
      <c r="X11" s="1566"/>
      <c r="Y11" s="3389"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32"/>
      <c r="Q12" s="1149" t="str">
        <f t="shared" si="6"/>
        <v>土地使用年限（年）</v>
      </c>
      <c r="R12" s="1564" t="s">
        <v>8</v>
      </c>
      <c r="S12" s="1565">
        <f t="shared" si="0"/>
        <v>102</v>
      </c>
      <c r="T12" s="1564" t="s">
        <v>8</v>
      </c>
      <c r="U12" s="1565">
        <f t="shared" si="1"/>
        <v>102</v>
      </c>
      <c r="V12" s="1564" t="s">
        <v>8</v>
      </c>
      <c r="W12" s="1565">
        <f t="shared" si="2"/>
        <v>102</v>
      </c>
      <c r="X12" s="1566"/>
      <c r="Y12" s="3389"/>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2"/>
      <c r="Q13" s="1149" t="str">
        <f t="shared" si="6"/>
        <v>容积率</v>
      </c>
      <c r="R13" s="1564" t="s">
        <v>8</v>
      </c>
      <c r="S13" s="1565" t="e">
        <f t="shared" si="0"/>
        <v>#N/A</v>
      </c>
      <c r="T13" s="1564" t="s">
        <v>8</v>
      </c>
      <c r="U13" s="1565" t="e">
        <f t="shared" si="1"/>
        <v>#N/A</v>
      </c>
      <c r="V13" s="1564" t="s">
        <v>8</v>
      </c>
      <c r="W13" s="1565" t="e">
        <f t="shared" si="2"/>
        <v>#N/A</v>
      </c>
      <c r="X13" s="1566"/>
      <c r="Y13" s="3389"/>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2"/>
      <c r="Q15" s="1149">
        <f t="shared" si="6"/>
        <v>111</v>
      </c>
      <c r="R15" s="1564" t="s">
        <v>8</v>
      </c>
      <c r="S15" s="1565">
        <f t="shared" si="0"/>
        <v>100</v>
      </c>
      <c r="T15" s="1564" t="s">
        <v>8</v>
      </c>
      <c r="U15" s="1565">
        <f t="shared" si="1"/>
        <v>100</v>
      </c>
      <c r="V15" s="1564" t="s">
        <v>8</v>
      </c>
      <c r="W15" s="1565">
        <f t="shared" si="2"/>
        <v>100</v>
      </c>
      <c r="X15" s="1566"/>
      <c r="Y15" s="3389"/>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2"/>
      <c r="Q16" s="1149">
        <f t="shared" si="6"/>
        <v>111</v>
      </c>
      <c r="R16" s="1564" t="s">
        <v>8</v>
      </c>
      <c r="S16" s="1565">
        <f t="shared" si="0"/>
        <v>100</v>
      </c>
      <c r="T16" s="1564" t="s">
        <v>8</v>
      </c>
      <c r="U16" s="1565">
        <f t="shared" si="1"/>
        <v>100</v>
      </c>
      <c r="V16" s="1564" t="s">
        <v>8</v>
      </c>
      <c r="W16" s="1565">
        <f t="shared" si="2"/>
        <v>100</v>
      </c>
      <c r="X16" s="1566"/>
      <c r="Y16" s="3389"/>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4" t="s">
        <v>536</v>
      </c>
      <c r="Q17" s="1568" t="str">
        <f t="shared" si="6"/>
        <v>产业集聚程度</v>
      </c>
      <c r="R17" s="1569" t="s">
        <v>8</v>
      </c>
      <c r="S17" s="1570">
        <f t="shared" si="0"/>
        <v>100</v>
      </c>
      <c r="T17" s="1569" t="s">
        <v>8</v>
      </c>
      <c r="U17" s="1570">
        <f t="shared" si="1"/>
        <v>100</v>
      </c>
      <c r="V17" s="1569" t="s">
        <v>8</v>
      </c>
      <c r="W17" s="1570">
        <f t="shared" si="2"/>
        <v>100</v>
      </c>
      <c r="X17" s="1563"/>
      <c r="Y17" s="3434"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5"/>
      <c r="Q18" s="1568"/>
      <c r="R18" s="1569"/>
      <c r="S18" s="1570"/>
      <c r="T18" s="1569"/>
      <c r="U18" s="1570"/>
      <c r="V18" s="1569"/>
      <c r="W18" s="1570"/>
      <c r="X18" s="1563"/>
      <c r="Y18" s="3435"/>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5"/>
      <c r="Q19" s="1568" t="str">
        <f>B19</f>
        <v>交通便捷度</v>
      </c>
      <c r="R19" s="1569" t="s">
        <v>8</v>
      </c>
      <c r="S19" s="1570">
        <f>F19</f>
        <v>100</v>
      </c>
      <c r="T19" s="1569" t="s">
        <v>8</v>
      </c>
      <c r="U19" s="1570">
        <f>H19</f>
        <v>100</v>
      </c>
      <c r="V19" s="1569" t="s">
        <v>8</v>
      </c>
      <c r="W19" s="1570">
        <f>J19</f>
        <v>100</v>
      </c>
      <c r="X19" s="1563"/>
      <c r="Y19" s="3435"/>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5"/>
      <c r="Q21" s="1568" t="str">
        <f t="shared" ref="Q21:Q35" si="8">B21</f>
        <v>区域土地利用方向</v>
      </c>
      <c r="R21" s="1569" t="s">
        <v>8</v>
      </c>
      <c r="S21" s="1570">
        <f>F21</f>
        <v>100</v>
      </c>
      <c r="T21" s="1569" t="s">
        <v>8</v>
      </c>
      <c r="U21" s="1570">
        <f>H21</f>
        <v>100</v>
      </c>
      <c r="V21" s="1569" t="s">
        <v>8</v>
      </c>
      <c r="W21" s="1570">
        <f>J21</f>
        <v>100</v>
      </c>
      <c r="X21" s="1563"/>
      <c r="Y21" s="3435"/>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35"/>
      <c r="Q22" s="1568"/>
      <c r="R22" s="1569"/>
      <c r="S22" s="1570"/>
      <c r="T22" s="1569"/>
      <c r="U22" s="1570"/>
      <c r="V22" s="1569"/>
      <c r="W22" s="1570"/>
      <c r="X22" s="1563"/>
      <c r="Y22" s="3435"/>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5"/>
      <c r="Q23" s="1568" t="str">
        <f t="shared" si="8"/>
        <v>环境状况</v>
      </c>
      <c r="R23" s="1569" t="s">
        <v>8</v>
      </c>
      <c r="S23" s="1570">
        <f>F23</f>
        <v>100</v>
      </c>
      <c r="T23" s="1569" t="s">
        <v>8</v>
      </c>
      <c r="U23" s="1570">
        <f>H23</f>
        <v>100</v>
      </c>
      <c r="V23" s="1569" t="s">
        <v>8</v>
      </c>
      <c r="W23" s="1570">
        <f>J23</f>
        <v>100</v>
      </c>
      <c r="X23" s="1563"/>
      <c r="Y23" s="3435"/>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5"/>
      <c r="Q24" s="1568"/>
      <c r="R24" s="1569"/>
      <c r="S24" s="1570"/>
      <c r="T24" s="1569"/>
      <c r="U24" s="1570"/>
      <c r="V24" s="1569"/>
      <c r="W24" s="1570"/>
      <c r="X24" s="1563"/>
      <c r="Y24" s="3435"/>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5"/>
      <c r="Q25" s="1149" t="str">
        <f t="shared" si="8"/>
        <v>公共配套设施</v>
      </c>
      <c r="R25" s="1564" t="s">
        <v>8</v>
      </c>
      <c r="S25" s="1565">
        <f>F25</f>
        <v>100</v>
      </c>
      <c r="T25" s="1564" t="s">
        <v>8</v>
      </c>
      <c r="U25" s="1565">
        <f>H25</f>
        <v>100</v>
      </c>
      <c r="V25" s="1564" t="s">
        <v>8</v>
      </c>
      <c r="W25" s="1565">
        <f>J25</f>
        <v>100</v>
      </c>
      <c r="X25" s="1566"/>
      <c r="Y25" s="3435"/>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35"/>
      <c r="Q26" s="1149"/>
      <c r="R26" s="1564"/>
      <c r="S26" s="1565"/>
      <c r="T26" s="1564"/>
      <c r="U26" s="1565"/>
      <c r="V26" s="1564"/>
      <c r="W26" s="1565"/>
      <c r="X26" s="1566"/>
      <c r="Y26" s="3435"/>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5"/>
      <c r="Q27" s="2599" t="str">
        <f t="shared" ref="Q27" si="9">B27</f>
        <v>基础设施水平</v>
      </c>
      <c r="R27" s="1564" t="s">
        <v>8</v>
      </c>
      <c r="S27" s="1565">
        <f>F27</f>
        <v>100</v>
      </c>
      <c r="T27" s="1564" t="s">
        <v>8</v>
      </c>
      <c r="U27" s="1565">
        <f>H27</f>
        <v>100</v>
      </c>
      <c r="V27" s="1564" t="s">
        <v>8</v>
      </c>
      <c r="W27" s="1565">
        <f>J27</f>
        <v>100</v>
      </c>
      <c r="X27" s="1566"/>
      <c r="Y27" s="3435"/>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35"/>
      <c r="Q28" s="2599"/>
      <c r="R28" s="1564"/>
      <c r="S28" s="1565"/>
      <c r="T28" s="1564"/>
      <c r="U28" s="1565"/>
      <c r="V28" s="1564"/>
      <c r="W28" s="1565"/>
      <c r="X28" s="1566"/>
      <c r="Y28" s="3435"/>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5"/>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5"/>
      <c r="Q30" s="1568" t="str">
        <f t="shared" si="8"/>
        <v>毗邻道路的类型与等级</v>
      </c>
      <c r="R30" s="1569" t="s">
        <v>8</v>
      </c>
      <c r="S30" s="1570">
        <f t="shared" si="10"/>
        <v>100</v>
      </c>
      <c r="T30" s="1569" t="s">
        <v>8</v>
      </c>
      <c r="U30" s="1570">
        <f t="shared" si="11"/>
        <v>100</v>
      </c>
      <c r="V30" s="1569" t="s">
        <v>8</v>
      </c>
      <c r="W30" s="1570">
        <f t="shared" si="12"/>
        <v>100</v>
      </c>
      <c r="X30" s="1563"/>
      <c r="Y30" s="3435"/>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5"/>
      <c r="Q31" s="1568"/>
      <c r="R31" s="1569"/>
      <c r="S31" s="1570"/>
      <c r="T31" s="1569"/>
      <c r="U31" s="1570"/>
      <c r="V31" s="1569"/>
      <c r="W31" s="1570"/>
      <c r="X31" s="1563"/>
      <c r="Y31" s="3435"/>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5"/>
      <c r="Q32" s="1568" t="str">
        <f t="shared" si="8"/>
        <v>土地级别</v>
      </c>
      <c r="R32" s="1569" t="s">
        <v>8</v>
      </c>
      <c r="S32" s="1570">
        <f t="shared" si="10"/>
        <v>100</v>
      </c>
      <c r="T32" s="1569" t="s">
        <v>8</v>
      </c>
      <c r="U32" s="1570">
        <f t="shared" si="11"/>
        <v>100</v>
      </c>
      <c r="V32" s="1569" t="s">
        <v>8</v>
      </c>
      <c r="W32" s="1570">
        <f t="shared" si="12"/>
        <v>100</v>
      </c>
      <c r="X32" s="1563"/>
      <c r="Y32" s="3435"/>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5"/>
      <c r="Q33" s="1568">
        <f t="shared" si="8"/>
        <v>111</v>
      </c>
      <c r="R33" s="1569" t="s">
        <v>8</v>
      </c>
      <c r="S33" s="1570">
        <f t="shared" si="10"/>
        <v>100</v>
      </c>
      <c r="T33" s="1569" t="s">
        <v>8</v>
      </c>
      <c r="U33" s="1570">
        <f t="shared" si="11"/>
        <v>100</v>
      </c>
      <c r="V33" s="1569" t="s">
        <v>8</v>
      </c>
      <c r="W33" s="1570">
        <f t="shared" si="12"/>
        <v>100</v>
      </c>
      <c r="X33" s="1563"/>
      <c r="Y33" s="3435"/>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6" t="s">
        <v>546</v>
      </c>
      <c r="Q34" s="1568">
        <f t="shared" si="8"/>
        <v>111</v>
      </c>
      <c r="R34" s="1569" t="s">
        <v>8</v>
      </c>
      <c r="S34" s="1570">
        <f t="shared" si="10"/>
        <v>100</v>
      </c>
      <c r="T34" s="1569" t="s">
        <v>8</v>
      </c>
      <c r="U34" s="1570">
        <f t="shared" si="11"/>
        <v>100</v>
      </c>
      <c r="V34" s="1569" t="s">
        <v>8</v>
      </c>
      <c r="W34" s="1570">
        <f t="shared" si="12"/>
        <v>100</v>
      </c>
      <c r="X34" s="1563"/>
      <c r="Y34" s="3437"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37"/>
      <c r="Q35" s="1568">
        <f t="shared" si="8"/>
        <v>111</v>
      </c>
      <c r="R35" s="1573" t="s">
        <v>8</v>
      </c>
      <c r="S35" s="1574">
        <f t="shared" si="10"/>
        <v>100</v>
      </c>
      <c r="T35" s="1573" t="s">
        <v>8</v>
      </c>
      <c r="U35" s="1574">
        <f t="shared" si="11"/>
        <v>100</v>
      </c>
      <c r="V35" s="1573" t="s">
        <v>8</v>
      </c>
      <c r="W35" s="1574">
        <f t="shared" si="12"/>
        <v>100</v>
      </c>
      <c r="X35" s="1575"/>
      <c r="Y35" s="3437"/>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37"/>
      <c r="Q36" s="1568" t="str">
        <f>B36</f>
        <v>宗地面积</v>
      </c>
      <c r="R36" s="1569" t="s">
        <v>8</v>
      </c>
      <c r="S36" s="1570" t="e">
        <f t="shared" si="10"/>
        <v>#N/A</v>
      </c>
      <c r="T36" s="1569" t="s">
        <v>8</v>
      </c>
      <c r="U36" s="1570" t="e">
        <f t="shared" si="11"/>
        <v>#N/A</v>
      </c>
      <c r="V36" s="1569" t="s">
        <v>8</v>
      </c>
      <c r="W36" s="1570" t="e">
        <f t="shared" si="12"/>
        <v>#N/A</v>
      </c>
      <c r="X36" s="1563"/>
      <c r="Y36" s="3437"/>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37"/>
      <c r="Q37" s="1568" t="str">
        <f t="shared" ref="Q37:Q42" si="14">B37</f>
        <v>宗地形状</v>
      </c>
      <c r="R37" s="1569" t="s">
        <v>8</v>
      </c>
      <c r="S37" s="1570">
        <f t="shared" si="10"/>
        <v>100</v>
      </c>
      <c r="T37" s="1569" t="s">
        <v>8</v>
      </c>
      <c r="U37" s="1570">
        <f t="shared" si="11"/>
        <v>100</v>
      </c>
      <c r="V37" s="1569" t="s">
        <v>8</v>
      </c>
      <c r="W37" s="1570">
        <f t="shared" si="12"/>
        <v>100</v>
      </c>
      <c r="X37" s="1563"/>
      <c r="Y37" s="3437"/>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37"/>
      <c r="Q38" s="1568" t="str">
        <f t="shared" si="14"/>
        <v>宗地开发程度</v>
      </c>
      <c r="R38" s="1564" t="s">
        <v>8</v>
      </c>
      <c r="S38" s="1565">
        <f t="shared" si="10"/>
        <v>100</v>
      </c>
      <c r="T38" s="1564" t="s">
        <v>8</v>
      </c>
      <c r="U38" s="1565">
        <f t="shared" si="11"/>
        <v>100</v>
      </c>
      <c r="V38" s="1564" t="s">
        <v>8</v>
      </c>
      <c r="W38" s="1565">
        <f t="shared" si="12"/>
        <v>100</v>
      </c>
      <c r="X38" s="1566"/>
      <c r="Y38" s="3437"/>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t="s">
        <v>597</v>
      </c>
      <c r="Q39" s="1568" t="str">
        <f t="shared" si="14"/>
        <v>工程地质条件</v>
      </c>
      <c r="R39" s="1569" t="s">
        <v>8</v>
      </c>
      <c r="S39" s="1570">
        <f t="shared" si="10"/>
        <v>100</v>
      </c>
      <c r="T39" s="1569" t="s">
        <v>8</v>
      </c>
      <c r="U39" s="1570">
        <f t="shared" si="11"/>
        <v>100</v>
      </c>
      <c r="V39" s="1569" t="s">
        <v>8</v>
      </c>
      <c r="W39" s="1570">
        <f t="shared" si="12"/>
        <v>100</v>
      </c>
      <c r="X39" s="1563"/>
      <c r="Y39" s="3437"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37"/>
      <c r="Q40" s="1568">
        <f t="shared" si="14"/>
        <v>111</v>
      </c>
      <c r="R40" s="1569" t="s">
        <v>8</v>
      </c>
      <c r="S40" s="1570">
        <f t="shared" si="10"/>
        <v>100</v>
      </c>
      <c r="T40" s="1569" t="s">
        <v>8</v>
      </c>
      <c r="U40" s="1570">
        <f t="shared" si="11"/>
        <v>100</v>
      </c>
      <c r="V40" s="1569" t="s">
        <v>8</v>
      </c>
      <c r="W40" s="1570">
        <f t="shared" si="12"/>
        <v>100</v>
      </c>
      <c r="X40" s="1563"/>
      <c r="Y40" s="3437"/>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37"/>
      <c r="Q41" s="1568">
        <f t="shared" si="14"/>
        <v>111</v>
      </c>
      <c r="R41" s="1569" t="s">
        <v>8</v>
      </c>
      <c r="S41" s="1570">
        <f t="shared" si="10"/>
        <v>100</v>
      </c>
      <c r="T41" s="1569" t="s">
        <v>8</v>
      </c>
      <c r="U41" s="1570">
        <f t="shared" si="11"/>
        <v>100</v>
      </c>
      <c r="V41" s="1569" t="s">
        <v>8</v>
      </c>
      <c r="W41" s="1570">
        <f t="shared" si="12"/>
        <v>100</v>
      </c>
      <c r="X41" s="1563"/>
      <c r="Y41" s="3437"/>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37"/>
      <c r="Q42" s="1568">
        <f t="shared" si="14"/>
        <v>111</v>
      </c>
      <c r="R42" s="1573" t="s">
        <v>8</v>
      </c>
      <c r="S42" s="1574">
        <f t="shared" si="10"/>
        <v>100</v>
      </c>
      <c r="T42" s="1573" t="s">
        <v>8</v>
      </c>
      <c r="U42" s="1574">
        <f t="shared" si="11"/>
        <v>100</v>
      </c>
      <c r="V42" s="1573" t="s">
        <v>8</v>
      </c>
      <c r="W42" s="1574">
        <f t="shared" si="12"/>
        <v>100</v>
      </c>
      <c r="X42" s="1575"/>
      <c r="Y42" s="3437"/>
      <c r="Z42" s="1576">
        <f t="shared" si="13"/>
        <v>111</v>
      </c>
      <c r="AA42" s="1572">
        <f t="shared" si="3"/>
        <v>1</v>
      </c>
      <c r="AB42" s="1572">
        <f t="shared" si="4"/>
        <v>1</v>
      </c>
      <c r="AC42" s="1572">
        <f t="shared" si="5"/>
        <v>1</v>
      </c>
    </row>
    <row r="43" spans="1:29" ht="15">
      <c r="A43" s="606" t="s">
        <v>552</v>
      </c>
      <c r="B43" s="607" t="s">
        <v>2932</v>
      </c>
      <c r="C43" s="608" t="s">
        <v>1</v>
      </c>
      <c r="D43" s="609"/>
      <c r="E43" s="610"/>
      <c r="F43" s="611"/>
      <c r="G43" s="612"/>
      <c r="H43" s="613"/>
      <c r="I43" s="610"/>
      <c r="J43" s="613"/>
      <c r="K43" s="1338"/>
      <c r="L43" s="2141"/>
      <c r="M43" s="2131"/>
      <c r="N43" s="2131"/>
      <c r="O43" s="2142"/>
      <c r="P43" s="3432" t="str">
        <f>A43</f>
        <v>成交单价</v>
      </c>
      <c r="Q43" s="3432"/>
      <c r="R43" s="3446">
        <f>E43</f>
        <v>0</v>
      </c>
      <c r="S43" s="3446"/>
      <c r="T43" s="3446">
        <f>G43</f>
        <v>0</v>
      </c>
      <c r="U43" s="3446"/>
      <c r="V43" s="3446">
        <f>I43</f>
        <v>0</v>
      </c>
      <c r="W43" s="3446"/>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32" t="str">
        <f>A44</f>
        <v>比较价格（元/平方米）</v>
      </c>
      <c r="Q44" s="3432"/>
      <c r="R44" s="3456" t="e">
        <f>ROUND(PRODUCT(R43,AA9:AA42),0)</f>
        <v>#DIV/0!</v>
      </c>
      <c r="S44" s="3456"/>
      <c r="T44" s="3456" t="e">
        <f>ROUND(PRODUCT(T43,AB9:AB42),0)</f>
        <v>#DIV/0!</v>
      </c>
      <c r="U44" s="3456"/>
      <c r="V44" s="3456" t="e">
        <f>ROUND(PRODUCT(V43,AC9:AC42),0)</f>
        <v>#DIV/0!</v>
      </c>
      <c r="W44" s="3456"/>
      <c r="X44" s="1555"/>
      <c r="Y44" s="1555"/>
      <c r="Z44" s="1555"/>
      <c r="AA44" s="1555"/>
      <c r="AB44" s="1555"/>
      <c r="AC44" s="1555"/>
    </row>
    <row r="45" spans="1:29" ht="15.75" thickBot="1">
      <c r="A45" s="620" t="s">
        <v>2933</v>
      </c>
      <c r="B45" s="621"/>
      <c r="C45" s="622" t="e">
        <f>R45</f>
        <v>#DIV/0!</v>
      </c>
      <c r="D45" s="622"/>
      <c r="E45" s="622"/>
      <c r="F45" s="622"/>
      <c r="G45" s="622"/>
      <c r="H45" s="622"/>
      <c r="I45" s="622"/>
      <c r="J45" s="622"/>
      <c r="K45" s="1340"/>
      <c r="L45" s="2141"/>
      <c r="M45" s="2131"/>
      <c r="N45" s="2131"/>
      <c r="O45" s="2142"/>
      <c r="P45" s="3453" t="str">
        <f>A45</f>
        <v>估价对象XX用房的比较价格（楼面单价，元/平方米）</v>
      </c>
      <c r="Q45" s="3454"/>
      <c r="R45" s="3455" t="e">
        <f>ROUND(AVERAGE(R44:V44),0)</f>
        <v>#DIV/0!</v>
      </c>
      <c r="S45" s="3455"/>
      <c r="T45" s="3455"/>
      <c r="U45" s="3455"/>
      <c r="V45" s="3455"/>
      <c r="W45" s="3455"/>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57" t="s">
        <v>2283</v>
      </c>
      <c r="H52" s="3458"/>
      <c r="I52" s="1949" t="s">
        <v>1944</v>
      </c>
      <c r="J52" s="1551">
        <f>项目基本情况!F41</f>
        <v>0</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59"/>
      <c r="H53" s="3460"/>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1"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1"/>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1"/>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1"/>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2934</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69"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70"/>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79" t="s">
        <v>2783</v>
      </c>
      <c r="X8" s="3480"/>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0"/>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78"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0"/>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78"/>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0"/>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78"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69"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78"/>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1"/>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78"/>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71"/>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2"/>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69"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0"/>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2935</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75" t="s">
        <v>2962</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76"/>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76"/>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7"/>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3" t="s">
        <v>1630</v>
      </c>
      <c r="B90" s="3473"/>
      <c r="C90" s="3473"/>
      <c r="D90" s="3473"/>
      <c r="E90" s="3473"/>
      <c r="F90" s="3473"/>
      <c r="G90" s="3473"/>
      <c r="H90" s="3473"/>
      <c r="I90" s="3473"/>
      <c r="J90" s="3473"/>
      <c r="K90" s="2471"/>
      <c r="L90" s="2471"/>
      <c r="M90" s="2471"/>
      <c r="N90" s="2471"/>
    </row>
    <row r="91" spans="1:40">
      <c r="A91" s="3474" t="s">
        <v>1440</v>
      </c>
      <c r="B91" s="3474" t="s">
        <v>1631</v>
      </c>
      <c r="C91" s="1138" t="s">
        <v>1632</v>
      </c>
      <c r="D91" s="1139"/>
      <c r="E91" s="1139"/>
      <c r="F91" s="1139"/>
      <c r="G91" s="1139"/>
      <c r="H91" s="1139"/>
      <c r="I91" s="1139"/>
      <c r="J91" s="1140"/>
      <c r="K91" s="1132"/>
      <c r="L91" s="1132"/>
      <c r="M91" s="1132"/>
      <c r="N91" s="1132"/>
    </row>
    <row r="92" spans="1:40">
      <c r="A92" s="3474"/>
      <c r="B92" s="3474"/>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1"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2"/>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1"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82"/>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82"/>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82"/>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82"/>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82"/>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82"/>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82"/>
      <c r="B108" s="3484"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3"/>
      <c r="B109" s="3485"/>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68" t="s">
        <v>1636</v>
      </c>
      <c r="B110" s="3468"/>
      <c r="C110" s="3468"/>
      <c r="D110" s="3468"/>
      <c r="E110" s="3468"/>
      <c r="F110" s="3468"/>
      <c r="G110" s="3468"/>
      <c r="H110" s="3468"/>
      <c r="I110" s="3468"/>
      <c r="J110" s="3468"/>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74" t="s">
        <v>1004</v>
      </c>
      <c r="B18" s="1152" t="s">
        <v>1443</v>
      </c>
      <c r="C18" s="1129" t="s">
        <v>1444</v>
      </c>
      <c r="D18" s="1130"/>
      <c r="E18" s="1152">
        <v>1</v>
      </c>
      <c r="F18" s="1131" t="s">
        <v>1445</v>
      </c>
      <c r="G18" s="1132"/>
      <c r="H18" s="1103"/>
      <c r="I18" s="1103"/>
    </row>
    <row r="19" spans="1:9" s="1595" customFormat="1" ht="19.5" customHeight="1">
      <c r="A19" s="3474"/>
      <c r="B19" s="3474" t="s">
        <v>1446</v>
      </c>
      <c r="C19" s="1129" t="s">
        <v>1447</v>
      </c>
      <c r="D19" s="1130"/>
      <c r="E19" s="1152">
        <v>0.9</v>
      </c>
      <c r="F19" s="1131" t="s">
        <v>1448</v>
      </c>
      <c r="G19" s="1132"/>
      <c r="H19" s="1103"/>
      <c r="I19" s="1103"/>
    </row>
    <row r="20" spans="1:9" s="1595" customFormat="1" ht="19.5" customHeight="1">
      <c r="A20" s="3474"/>
      <c r="B20" s="3474"/>
      <c r="C20" s="1129" t="s">
        <v>1449</v>
      </c>
      <c r="D20" s="1130"/>
      <c r="E20" s="1152">
        <v>1.1000000000000001</v>
      </c>
      <c r="F20" s="1131" t="s">
        <v>1450</v>
      </c>
      <c r="G20" s="1132"/>
      <c r="H20" s="1103"/>
      <c r="I20" s="1103"/>
    </row>
    <row r="21" spans="1:9" s="1595" customFormat="1" ht="19.5" customHeight="1">
      <c r="A21" s="3474"/>
      <c r="B21" s="3474"/>
      <c r="C21" s="1129" t="s">
        <v>1451</v>
      </c>
      <c r="D21" s="1130"/>
      <c r="E21" s="1152">
        <v>0.8</v>
      </c>
      <c r="F21" s="1131" t="s">
        <v>1452</v>
      </c>
      <c r="G21" s="1132"/>
      <c r="H21" s="1103"/>
      <c r="I21" s="1103"/>
    </row>
    <row r="22" spans="1:9" s="1595" customFormat="1" ht="19.5" customHeight="1">
      <c r="A22" s="3474"/>
      <c r="B22" s="3474"/>
      <c r="C22" s="1129" t="s">
        <v>1453</v>
      </c>
      <c r="D22" s="1130"/>
      <c r="E22" s="1152">
        <v>0.5</v>
      </c>
      <c r="F22" s="1131"/>
      <c r="G22" s="1132"/>
      <c r="H22" s="1103"/>
      <c r="I22" s="1103"/>
    </row>
    <row r="23" spans="1:9" s="1595" customFormat="1" ht="19.5" customHeight="1">
      <c r="A23" s="3474" t="s">
        <v>1026</v>
      </c>
      <c r="B23" s="1152" t="s">
        <v>1443</v>
      </c>
      <c r="C23" s="1129" t="s">
        <v>1454</v>
      </c>
      <c r="D23" s="1130"/>
      <c r="E23" s="1152">
        <v>1</v>
      </c>
      <c r="F23" s="1131" t="s">
        <v>1455</v>
      </c>
      <c r="G23" s="1132"/>
      <c r="H23" s="1103"/>
      <c r="I23" s="1103"/>
    </row>
    <row r="24" spans="1:9" s="1595" customFormat="1" ht="19.5" customHeight="1">
      <c r="A24" s="3474"/>
      <c r="B24" s="3474" t="s">
        <v>1446</v>
      </c>
      <c r="C24" s="1129" t="s">
        <v>1456</v>
      </c>
      <c r="D24" s="1130"/>
      <c r="E24" s="1152">
        <v>0.5</v>
      </c>
      <c r="F24" s="1131"/>
      <c r="G24" s="1132"/>
      <c r="H24" s="1103"/>
      <c r="I24" s="1103"/>
    </row>
    <row r="25" spans="1:9" s="1595" customFormat="1" ht="19.5" customHeight="1">
      <c r="A25" s="3474"/>
      <c r="B25" s="3474"/>
      <c r="C25" s="1129" t="s">
        <v>1457</v>
      </c>
      <c r="D25" s="1130"/>
      <c r="E25" s="1152">
        <v>1.1000000000000001</v>
      </c>
      <c r="F25" s="1131"/>
      <c r="G25" s="1132"/>
      <c r="H25" s="1103"/>
      <c r="I25" s="1103"/>
    </row>
    <row r="26" spans="1:9" s="1595" customFormat="1" ht="19.5" customHeight="1">
      <c r="A26" s="3474"/>
      <c r="B26" s="3474"/>
      <c r="C26" s="1129" t="s">
        <v>1458</v>
      </c>
      <c r="D26" s="1130"/>
      <c r="E26" s="1152">
        <v>1.1000000000000001</v>
      </c>
      <c r="F26" s="1131"/>
      <c r="G26" s="1132"/>
      <c r="H26" s="1103"/>
      <c r="I26" s="1103"/>
    </row>
    <row r="27" spans="1:9" s="1595" customFormat="1" ht="19.5" customHeight="1">
      <c r="A27" s="3474"/>
      <c r="B27" s="3474"/>
      <c r="C27" s="1129" t="s">
        <v>1459</v>
      </c>
      <c r="D27" s="1130"/>
      <c r="E27" s="1152">
        <v>0.9</v>
      </c>
      <c r="F27" s="1131" t="s">
        <v>1460</v>
      </c>
      <c r="G27" s="1132"/>
      <c r="H27" s="1103"/>
      <c r="I27" s="1103"/>
    </row>
    <row r="28" spans="1:9" s="1595" customFormat="1" ht="19.5" customHeight="1">
      <c r="A28" s="3474"/>
      <c r="B28" s="3474"/>
      <c r="C28" s="1129" t="s">
        <v>1461</v>
      </c>
      <c r="D28" s="1130"/>
      <c r="E28" s="1152">
        <v>0.9</v>
      </c>
      <c r="F28" s="1131" t="s">
        <v>1462</v>
      </c>
      <c r="G28" s="1132"/>
      <c r="H28" s="1103"/>
      <c r="I28" s="1103"/>
    </row>
    <row r="29" spans="1:9" s="1595" customFormat="1" ht="19.5" customHeight="1">
      <c r="A29" s="3474"/>
      <c r="B29" s="3474"/>
      <c r="C29" s="1129" t="s">
        <v>1463</v>
      </c>
      <c r="D29" s="1130"/>
      <c r="E29" s="1152">
        <v>0.9</v>
      </c>
      <c r="F29" s="1131" t="s">
        <v>1464</v>
      </c>
      <c r="G29" s="1132"/>
      <c r="H29" s="1103"/>
      <c r="I29" s="1103"/>
    </row>
    <row r="30" spans="1:9" s="1595" customFormat="1" ht="19.5" customHeight="1">
      <c r="A30" s="3474"/>
      <c r="B30" s="3474"/>
      <c r="C30" s="1129" t="s">
        <v>1465</v>
      </c>
      <c r="D30" s="1130"/>
      <c r="E30" s="1152">
        <v>0.9</v>
      </c>
      <c r="F30" s="1131" t="s">
        <v>1466</v>
      </c>
      <c r="G30" s="1132"/>
      <c r="H30" s="1103"/>
      <c r="I30" s="1103"/>
    </row>
    <row r="31" spans="1:9" s="1595" customFormat="1" ht="19.5" customHeight="1">
      <c r="A31" s="3474"/>
      <c r="B31" s="3474"/>
      <c r="C31" s="1129" t="s">
        <v>1467</v>
      </c>
      <c r="D31" s="1130"/>
      <c r="E31" s="1152">
        <v>0.8</v>
      </c>
      <c r="F31" s="1131" t="s">
        <v>1468</v>
      </c>
      <c r="G31" s="1132"/>
      <c r="H31" s="1103"/>
      <c r="I31" s="1103"/>
    </row>
    <row r="32" spans="1:9" s="1595" customFormat="1" ht="19.5" customHeight="1">
      <c r="A32" s="3474"/>
      <c r="B32" s="3474"/>
      <c r="C32" s="1129" t="s">
        <v>1469</v>
      </c>
      <c r="D32" s="1130"/>
      <c r="E32" s="1152">
        <v>0.8</v>
      </c>
      <c r="F32" s="1131" t="s">
        <v>1470</v>
      </c>
      <c r="G32" s="1132"/>
      <c r="H32" s="1103"/>
      <c r="I32" s="1103"/>
    </row>
    <row r="33" spans="1:9" s="1595" customFormat="1" ht="19.5" customHeight="1">
      <c r="A33" s="3474" t="s">
        <v>1471</v>
      </c>
      <c r="B33" s="1152" t="s">
        <v>1443</v>
      </c>
      <c r="C33" s="1129" t="s">
        <v>1472</v>
      </c>
      <c r="D33" s="1130"/>
      <c r="E33" s="1152">
        <v>1</v>
      </c>
      <c r="F33" s="1131" t="s">
        <v>1473</v>
      </c>
      <c r="G33" s="1132"/>
      <c r="H33" s="1103"/>
      <c r="I33" s="1103"/>
    </row>
    <row r="34" spans="1:9" s="1595" customFormat="1" ht="19.5" customHeight="1">
      <c r="A34" s="3474"/>
      <c r="B34" s="1152" t="s">
        <v>1446</v>
      </c>
      <c r="C34" s="1129" t="s">
        <v>1474</v>
      </c>
      <c r="D34" s="1130"/>
      <c r="E34" s="1152">
        <v>1.5</v>
      </c>
      <c r="F34" s="1131" t="s">
        <v>1475</v>
      </c>
      <c r="G34" s="1132"/>
      <c r="H34" s="1103"/>
      <c r="I34" s="1103"/>
    </row>
    <row r="35" spans="1:9" s="1595" customFormat="1" ht="19.5" customHeight="1">
      <c r="A35" s="3474" t="s">
        <v>1429</v>
      </c>
      <c r="B35" s="1152" t="s">
        <v>1443</v>
      </c>
      <c r="C35" s="1129" t="s">
        <v>1476</v>
      </c>
      <c r="D35" s="1130"/>
      <c r="E35" s="1152">
        <v>1</v>
      </c>
      <c r="F35" s="1131" t="s">
        <v>1477</v>
      </c>
      <c r="G35" s="1132"/>
      <c r="H35" s="1103"/>
      <c r="I35" s="1103"/>
    </row>
    <row r="36" spans="1:9" s="1595" customFormat="1" ht="19.5" customHeight="1">
      <c r="A36" s="3474"/>
      <c r="B36" s="3474" t="s">
        <v>1446</v>
      </c>
      <c r="C36" s="1129" t="s">
        <v>1478</v>
      </c>
      <c r="D36" s="1130"/>
      <c r="E36" s="1152">
        <v>1</v>
      </c>
      <c r="F36" s="1131" t="s">
        <v>1479</v>
      </c>
      <c r="G36" s="1132"/>
      <c r="H36" s="1103"/>
      <c r="I36" s="1103"/>
    </row>
    <row r="37" spans="1:9" s="1595" customFormat="1" ht="19.5" customHeight="1">
      <c r="A37" s="3474"/>
      <c r="B37" s="3474"/>
      <c r="C37" s="1129" t="s">
        <v>1480</v>
      </c>
      <c r="D37" s="1130"/>
      <c r="E37" s="1152">
        <v>1.5</v>
      </c>
      <c r="F37" s="1131" t="s">
        <v>1481</v>
      </c>
      <c r="G37" s="1132"/>
      <c r="H37" s="1103"/>
      <c r="I37" s="1103"/>
    </row>
    <row r="38" spans="1:9" s="1595" customFormat="1" ht="19.5" customHeight="1">
      <c r="A38" s="3474"/>
      <c r="B38" s="3474"/>
      <c r="C38" s="1129" t="s">
        <v>1482</v>
      </c>
      <c r="D38" s="1130"/>
      <c r="E38" s="1152">
        <v>1</v>
      </c>
      <c r="F38" s="1131" t="s">
        <v>1483</v>
      </c>
      <c r="G38" s="1132"/>
      <c r="H38" s="1103"/>
      <c r="I38" s="1103"/>
    </row>
    <row r="39" spans="1:9" s="1595" customFormat="1" ht="19.5" customHeight="1">
      <c r="A39" s="3474"/>
      <c r="B39" s="3474"/>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74" t="s">
        <v>1498</v>
      </c>
      <c r="C61" s="1066" t="s">
        <v>1499</v>
      </c>
      <c r="D61" s="1066" t="s">
        <v>1500</v>
      </c>
      <c r="E61" s="1137">
        <v>0.5</v>
      </c>
      <c r="F61" s="1152">
        <v>80</v>
      </c>
      <c r="H61" s="1103">
        <f>SUMIF(C59:C119,基准地价!C8,E59:E119)</f>
        <v>0</v>
      </c>
    </row>
    <row r="62" spans="1:8" s="1103" customFormat="1" ht="24">
      <c r="A62" s="1152">
        <v>2</v>
      </c>
      <c r="B62" s="3474"/>
      <c r="C62" s="1066" t="s">
        <v>1501</v>
      </c>
      <c r="D62" s="1066" t="s">
        <v>1502</v>
      </c>
      <c r="E62" s="1137">
        <v>0.5</v>
      </c>
      <c r="F62" s="1152">
        <v>80</v>
      </c>
    </row>
    <row r="63" spans="1:8" s="1103" customFormat="1" ht="36">
      <c r="A63" s="1152">
        <v>3</v>
      </c>
      <c r="B63" s="3474"/>
      <c r="C63" s="1066" t="s">
        <v>1503</v>
      </c>
      <c r="D63" s="1066" t="s">
        <v>1504</v>
      </c>
      <c r="E63" s="1137">
        <v>0.5</v>
      </c>
      <c r="F63" s="1152">
        <v>80</v>
      </c>
    </row>
    <row r="64" spans="1:8" s="1103" customFormat="1" ht="36">
      <c r="A64" s="1152">
        <v>4</v>
      </c>
      <c r="B64" s="3474"/>
      <c r="C64" s="1066" t="s">
        <v>1505</v>
      </c>
      <c r="D64" s="1066" t="s">
        <v>1506</v>
      </c>
      <c r="E64" s="1137">
        <v>0.4</v>
      </c>
      <c r="F64" s="1152">
        <v>60</v>
      </c>
    </row>
    <row r="65" spans="1:6" s="1103" customFormat="1" ht="36">
      <c r="A65" s="1152">
        <v>5</v>
      </c>
      <c r="B65" s="3474"/>
      <c r="C65" s="1066" t="s">
        <v>1507</v>
      </c>
      <c r="D65" s="1066" t="s">
        <v>1508</v>
      </c>
      <c r="E65" s="1137">
        <v>0.2</v>
      </c>
      <c r="F65" s="1152">
        <v>30</v>
      </c>
    </row>
    <row r="66" spans="1:6" s="1103" customFormat="1" ht="36">
      <c r="A66" s="1152">
        <v>6</v>
      </c>
      <c r="B66" s="3474"/>
      <c r="C66" s="1066" t="s">
        <v>1509</v>
      </c>
      <c r="D66" s="1066" t="s">
        <v>1510</v>
      </c>
      <c r="E66" s="1137">
        <v>0.3</v>
      </c>
      <c r="F66" s="1152">
        <v>50</v>
      </c>
    </row>
    <row r="67" spans="1:6" s="1103" customFormat="1" ht="36">
      <c r="A67" s="1152">
        <v>7</v>
      </c>
      <c r="B67" s="3474"/>
      <c r="C67" s="1066" t="s">
        <v>1511</v>
      </c>
      <c r="D67" s="1066" t="s">
        <v>1512</v>
      </c>
      <c r="E67" s="1137">
        <v>0.2</v>
      </c>
      <c r="F67" s="1152">
        <v>30</v>
      </c>
    </row>
    <row r="68" spans="1:6" s="1103" customFormat="1" ht="36">
      <c r="A68" s="1152">
        <v>8</v>
      </c>
      <c r="B68" s="3474"/>
      <c r="C68" s="1066" t="s">
        <v>1513</v>
      </c>
      <c r="D68" s="1066" t="s">
        <v>1514</v>
      </c>
      <c r="E68" s="1137">
        <v>0.2</v>
      </c>
      <c r="F68" s="1152">
        <v>30</v>
      </c>
    </row>
    <row r="69" spans="1:6" s="1103" customFormat="1" ht="36">
      <c r="A69" s="1152">
        <v>9</v>
      </c>
      <c r="B69" s="3474"/>
      <c r="C69" s="1066" t="s">
        <v>1515</v>
      </c>
      <c r="D69" s="1066" t="s">
        <v>1516</v>
      </c>
      <c r="E69" s="1137">
        <v>0.2</v>
      </c>
      <c r="F69" s="1152">
        <v>30</v>
      </c>
    </row>
    <row r="70" spans="1:6" s="1103" customFormat="1" ht="48">
      <c r="A70" s="1152">
        <v>10</v>
      </c>
      <c r="B70" s="3474"/>
      <c r="C70" s="1066" t="s">
        <v>1517</v>
      </c>
      <c r="D70" s="1066" t="s">
        <v>1518</v>
      </c>
      <c r="E70" s="1137">
        <v>0.2</v>
      </c>
      <c r="F70" s="1152">
        <v>30</v>
      </c>
    </row>
    <row r="71" spans="1:6" s="1103" customFormat="1" ht="48">
      <c r="A71" s="1152">
        <v>11</v>
      </c>
      <c r="B71" s="3474"/>
      <c r="C71" s="1066" t="s">
        <v>1519</v>
      </c>
      <c r="D71" s="1066" t="s">
        <v>1520</v>
      </c>
      <c r="E71" s="1137">
        <v>0.2</v>
      </c>
      <c r="F71" s="1152">
        <v>30</v>
      </c>
    </row>
    <row r="72" spans="1:6" s="1103" customFormat="1" ht="36">
      <c r="A72" s="1152">
        <v>12</v>
      </c>
      <c r="B72" s="3474"/>
      <c r="C72" s="1066" t="s">
        <v>1521</v>
      </c>
      <c r="D72" s="1066" t="s">
        <v>1522</v>
      </c>
      <c r="E72" s="1137">
        <v>0.5</v>
      </c>
      <c r="F72" s="1152">
        <v>80</v>
      </c>
    </row>
    <row r="73" spans="1:6" s="1103" customFormat="1" ht="24">
      <c r="A73" s="1152">
        <v>13</v>
      </c>
      <c r="B73" s="3474"/>
      <c r="C73" s="1066" t="s">
        <v>1523</v>
      </c>
      <c r="D73" s="1066" t="s">
        <v>1524</v>
      </c>
      <c r="E73" s="1137">
        <v>0.4</v>
      </c>
      <c r="F73" s="1152">
        <v>60</v>
      </c>
    </row>
    <row r="74" spans="1:6" s="1103" customFormat="1" ht="24">
      <c r="A74" s="1152">
        <v>14</v>
      </c>
      <c r="B74" s="3474"/>
      <c r="C74" s="1066" t="s">
        <v>1525</v>
      </c>
      <c r="D74" s="1066" t="s">
        <v>1526</v>
      </c>
      <c r="E74" s="1137">
        <v>0.2</v>
      </c>
      <c r="F74" s="1152">
        <v>30</v>
      </c>
    </row>
    <row r="75" spans="1:6" s="1103" customFormat="1" ht="24">
      <c r="A75" s="1152">
        <v>15</v>
      </c>
      <c r="B75" s="3474"/>
      <c r="C75" s="1066" t="s">
        <v>1527</v>
      </c>
      <c r="D75" s="1066" t="s">
        <v>1528</v>
      </c>
      <c r="E75" s="1137">
        <v>0.2</v>
      </c>
      <c r="F75" s="1152">
        <v>30</v>
      </c>
    </row>
    <row r="76" spans="1:6" s="1103" customFormat="1" ht="24">
      <c r="A76" s="1152">
        <v>16</v>
      </c>
      <c r="B76" s="3474" t="s">
        <v>1529</v>
      </c>
      <c r="C76" s="1066" t="s">
        <v>1530</v>
      </c>
      <c r="D76" s="1066" t="s">
        <v>1531</v>
      </c>
      <c r="E76" s="1137">
        <v>0.5</v>
      </c>
      <c r="F76" s="1152">
        <v>80</v>
      </c>
    </row>
    <row r="77" spans="1:6" s="1103" customFormat="1" ht="24">
      <c r="A77" s="1152">
        <v>17</v>
      </c>
      <c r="B77" s="3474"/>
      <c r="C77" s="1066" t="s">
        <v>1532</v>
      </c>
      <c r="D77" s="1066" t="s">
        <v>1533</v>
      </c>
      <c r="E77" s="1137">
        <v>0.5</v>
      </c>
      <c r="F77" s="1152">
        <v>80</v>
      </c>
    </row>
    <row r="78" spans="1:6" s="1103" customFormat="1" ht="24">
      <c r="A78" s="1152">
        <v>18</v>
      </c>
      <c r="B78" s="3474"/>
      <c r="C78" s="1066" t="s">
        <v>1534</v>
      </c>
      <c r="D78" s="1066" t="s">
        <v>1535</v>
      </c>
      <c r="E78" s="1137">
        <v>0.2</v>
      </c>
      <c r="F78" s="1152">
        <v>30</v>
      </c>
    </row>
    <row r="79" spans="1:6" s="1103" customFormat="1" ht="24">
      <c r="A79" s="1152">
        <v>19</v>
      </c>
      <c r="B79" s="3474"/>
      <c r="C79" s="1066" t="s">
        <v>1536</v>
      </c>
      <c r="D79" s="1066" t="s">
        <v>1537</v>
      </c>
      <c r="E79" s="1137">
        <v>0.5</v>
      </c>
      <c r="F79" s="1152">
        <v>80</v>
      </c>
    </row>
    <row r="80" spans="1:6" s="1103" customFormat="1" ht="36">
      <c r="A80" s="1152">
        <v>20</v>
      </c>
      <c r="B80" s="3474"/>
      <c r="C80" s="1066" t="s">
        <v>1538</v>
      </c>
      <c r="D80" s="1066" t="s">
        <v>1539</v>
      </c>
      <c r="E80" s="1137">
        <v>0.2</v>
      </c>
      <c r="F80" s="1152">
        <v>30</v>
      </c>
    </row>
    <row r="81" spans="1:6" s="1103" customFormat="1" ht="36">
      <c r="A81" s="1152">
        <v>21</v>
      </c>
      <c r="B81" s="3474"/>
      <c r="C81" s="1066" t="s">
        <v>1540</v>
      </c>
      <c r="D81" s="1066" t="s">
        <v>1541</v>
      </c>
      <c r="E81" s="1137">
        <v>0.2</v>
      </c>
      <c r="F81" s="1152">
        <v>30</v>
      </c>
    </row>
    <row r="82" spans="1:6" s="1103" customFormat="1" ht="48">
      <c r="A82" s="1152">
        <v>22</v>
      </c>
      <c r="B82" s="3474"/>
      <c r="C82" s="1066" t="s">
        <v>1542</v>
      </c>
      <c r="D82" s="1066" t="s">
        <v>1543</v>
      </c>
      <c r="E82" s="1137">
        <v>0.2</v>
      </c>
      <c r="F82" s="1152">
        <v>30</v>
      </c>
    </row>
    <row r="83" spans="1:6" s="1103" customFormat="1" ht="48">
      <c r="A83" s="1152">
        <v>23</v>
      </c>
      <c r="B83" s="3474"/>
      <c r="C83" s="1066" t="s">
        <v>1544</v>
      </c>
      <c r="D83" s="1066" t="s">
        <v>1545</v>
      </c>
      <c r="E83" s="1137">
        <v>0.2</v>
      </c>
      <c r="F83" s="1152">
        <v>30</v>
      </c>
    </row>
    <row r="84" spans="1:6" s="1103" customFormat="1" ht="36">
      <c r="A84" s="1152">
        <v>24</v>
      </c>
      <c r="B84" s="3474"/>
      <c r="C84" s="1066" t="s">
        <v>1546</v>
      </c>
      <c r="D84" s="1066" t="s">
        <v>1547</v>
      </c>
      <c r="E84" s="1137">
        <v>0.2</v>
      </c>
      <c r="F84" s="1152">
        <v>30</v>
      </c>
    </row>
    <row r="85" spans="1:6" s="1103" customFormat="1" ht="36">
      <c r="A85" s="1152">
        <v>25</v>
      </c>
      <c r="B85" s="3474"/>
      <c r="C85" s="1066" t="s">
        <v>1548</v>
      </c>
      <c r="D85" s="1066" t="s">
        <v>1549</v>
      </c>
      <c r="E85" s="1137">
        <v>0.5</v>
      </c>
      <c r="F85" s="1152">
        <v>80</v>
      </c>
    </row>
    <row r="86" spans="1:6" s="1103" customFormat="1" ht="36">
      <c r="A86" s="1152">
        <v>26</v>
      </c>
      <c r="B86" s="3474"/>
      <c r="C86" s="1066" t="s">
        <v>1550</v>
      </c>
      <c r="D86" s="1066" t="s">
        <v>1551</v>
      </c>
      <c r="E86" s="1137">
        <v>0.2</v>
      </c>
      <c r="F86" s="1152">
        <v>30</v>
      </c>
    </row>
    <row r="87" spans="1:6" s="1103" customFormat="1" ht="36">
      <c r="A87" s="1152">
        <v>27</v>
      </c>
      <c r="B87" s="3474"/>
      <c r="C87" s="1066" t="s">
        <v>1552</v>
      </c>
      <c r="D87" s="1066" t="s">
        <v>1553</v>
      </c>
      <c r="E87" s="1137">
        <v>0.2</v>
      </c>
      <c r="F87" s="1152">
        <v>30</v>
      </c>
    </row>
    <row r="88" spans="1:6" s="1103" customFormat="1" ht="36">
      <c r="A88" s="1152">
        <v>28</v>
      </c>
      <c r="B88" s="3474"/>
      <c r="C88" s="1066" t="s">
        <v>1554</v>
      </c>
      <c r="D88" s="1066" t="s">
        <v>1555</v>
      </c>
      <c r="E88" s="1137">
        <v>0.2</v>
      </c>
      <c r="F88" s="1152">
        <v>30</v>
      </c>
    </row>
    <row r="89" spans="1:6" s="1103" customFormat="1" ht="24">
      <c r="A89" s="1152">
        <v>29</v>
      </c>
      <c r="B89" s="3474"/>
      <c r="C89" s="1066" t="s">
        <v>1556</v>
      </c>
      <c r="D89" s="1066" t="s">
        <v>1557</v>
      </c>
      <c r="E89" s="1137">
        <v>0.2</v>
      </c>
      <c r="F89" s="1152">
        <v>30</v>
      </c>
    </row>
    <row r="90" spans="1:6" s="1103" customFormat="1" ht="24">
      <c r="A90" s="1152">
        <v>30</v>
      </c>
      <c r="B90" s="3474"/>
      <c r="C90" s="1066" t="s">
        <v>1558</v>
      </c>
      <c r="D90" s="1066" t="s">
        <v>1559</v>
      </c>
      <c r="E90" s="1137">
        <v>0.2</v>
      </c>
      <c r="F90" s="1152">
        <v>30</v>
      </c>
    </row>
    <row r="91" spans="1:6" s="1103" customFormat="1" ht="36">
      <c r="A91" s="1152">
        <v>31</v>
      </c>
      <c r="B91" s="3474"/>
      <c r="C91" s="1066" t="s">
        <v>1560</v>
      </c>
      <c r="D91" s="1066" t="s">
        <v>1561</v>
      </c>
      <c r="E91" s="1137">
        <v>0.2</v>
      </c>
      <c r="F91" s="1152">
        <v>30</v>
      </c>
    </row>
    <row r="92" spans="1:6" s="1103" customFormat="1" ht="24">
      <c r="A92" s="1152">
        <v>32</v>
      </c>
      <c r="B92" s="3474" t="s">
        <v>1562</v>
      </c>
      <c r="C92" s="1152" t="s">
        <v>1563</v>
      </c>
      <c r="D92" s="1066" t="s">
        <v>1564</v>
      </c>
      <c r="E92" s="1137">
        <v>0.2</v>
      </c>
      <c r="F92" s="1152">
        <v>30</v>
      </c>
    </row>
    <row r="93" spans="1:6" s="1103" customFormat="1" ht="36">
      <c r="A93" s="1152">
        <v>33</v>
      </c>
      <c r="B93" s="3474"/>
      <c r="C93" s="1152" t="s">
        <v>1565</v>
      </c>
      <c r="D93" s="1066" t="s">
        <v>1566</v>
      </c>
      <c r="E93" s="1137">
        <v>0.2</v>
      </c>
      <c r="F93" s="1152">
        <v>30</v>
      </c>
    </row>
    <row r="94" spans="1:6" s="1103" customFormat="1" ht="48">
      <c r="A94" s="1152">
        <v>34</v>
      </c>
      <c r="B94" s="3474"/>
      <c r="C94" s="1152" t="s">
        <v>1567</v>
      </c>
      <c r="D94" s="1066" t="s">
        <v>1568</v>
      </c>
      <c r="E94" s="1137">
        <v>0.2</v>
      </c>
      <c r="F94" s="1152">
        <v>30</v>
      </c>
    </row>
    <row r="95" spans="1:6" s="1103" customFormat="1" ht="36">
      <c r="A95" s="1152">
        <v>35</v>
      </c>
      <c r="B95" s="3474"/>
      <c r="C95" s="1152" t="s">
        <v>1569</v>
      </c>
      <c r="D95" s="1066" t="s">
        <v>1570</v>
      </c>
      <c r="E95" s="1137">
        <v>0.2</v>
      </c>
      <c r="F95" s="1152">
        <v>30</v>
      </c>
    </row>
    <row r="96" spans="1:6" s="1103" customFormat="1" ht="48">
      <c r="A96" s="1152">
        <v>36</v>
      </c>
      <c r="B96" s="3474"/>
      <c r="C96" s="1066" t="s">
        <v>1571</v>
      </c>
      <c r="D96" s="1066" t="s">
        <v>1572</v>
      </c>
      <c r="E96" s="1137">
        <v>0.2</v>
      </c>
      <c r="F96" s="1152">
        <v>30</v>
      </c>
    </row>
    <row r="97" spans="1:6" s="1103" customFormat="1" ht="36">
      <c r="A97" s="1152">
        <v>37</v>
      </c>
      <c r="B97" s="3474"/>
      <c r="C97" s="1152" t="s">
        <v>1573</v>
      </c>
      <c r="D97" s="1066" t="s">
        <v>1574</v>
      </c>
      <c r="E97" s="1137">
        <v>0.2</v>
      </c>
      <c r="F97" s="1152">
        <v>30</v>
      </c>
    </row>
    <row r="98" spans="1:6" s="1103" customFormat="1" ht="36">
      <c r="A98" s="1152">
        <v>38</v>
      </c>
      <c r="B98" s="3474"/>
      <c r="C98" s="1152" t="s">
        <v>1575</v>
      </c>
      <c r="D98" s="1066" t="s">
        <v>1576</v>
      </c>
      <c r="E98" s="1137">
        <v>0.2</v>
      </c>
      <c r="F98" s="1152">
        <v>30</v>
      </c>
    </row>
    <row r="99" spans="1:6" s="1103" customFormat="1" ht="36">
      <c r="A99" s="1152">
        <v>39</v>
      </c>
      <c r="B99" s="3474" t="s">
        <v>1577</v>
      </c>
      <c r="C99" s="1152" t="s">
        <v>1578</v>
      </c>
      <c r="D99" s="1066" t="s">
        <v>1579</v>
      </c>
      <c r="E99" s="1137">
        <v>0.3</v>
      </c>
      <c r="F99" s="1152">
        <v>50</v>
      </c>
    </row>
    <row r="100" spans="1:6" s="1103" customFormat="1" ht="24">
      <c r="A100" s="1152">
        <v>40</v>
      </c>
      <c r="B100" s="3474"/>
      <c r="C100" s="1152" t="s">
        <v>1580</v>
      </c>
      <c r="D100" s="1066" t="s">
        <v>1581</v>
      </c>
      <c r="E100" s="1137">
        <v>0.2</v>
      </c>
      <c r="F100" s="1152">
        <v>30</v>
      </c>
    </row>
    <row r="101" spans="1:6" s="1103" customFormat="1" ht="36">
      <c r="A101" s="1152">
        <v>41</v>
      </c>
      <c r="B101" s="3474"/>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74" t="s">
        <v>1592</v>
      </c>
      <c r="C105" s="1152" t="s">
        <v>1593</v>
      </c>
      <c r="D105" s="1066" t="s">
        <v>1594</v>
      </c>
      <c r="E105" s="1137">
        <v>0.2</v>
      </c>
      <c r="F105" s="1152">
        <v>30</v>
      </c>
    </row>
    <row r="106" spans="1:6" s="1103" customFormat="1" ht="36">
      <c r="A106" s="1152">
        <v>46</v>
      </c>
      <c r="B106" s="3474"/>
      <c r="C106" s="1152" t="s">
        <v>1595</v>
      </c>
      <c r="D106" s="1066" t="s">
        <v>1596</v>
      </c>
      <c r="E106" s="1137">
        <v>0.2</v>
      </c>
      <c r="F106" s="1152">
        <v>30</v>
      </c>
    </row>
    <row r="107" spans="1:6" s="1103" customFormat="1" ht="36">
      <c r="A107" s="1152">
        <v>47</v>
      </c>
      <c r="B107" s="3474" t="s">
        <v>1597</v>
      </c>
      <c r="C107" s="1152" t="s">
        <v>1598</v>
      </c>
      <c r="D107" s="1066" t="s">
        <v>1599</v>
      </c>
      <c r="E107" s="1137">
        <v>0.3</v>
      </c>
      <c r="F107" s="1152">
        <v>50</v>
      </c>
    </row>
    <row r="108" spans="1:6" s="1103" customFormat="1" ht="36">
      <c r="A108" s="1152">
        <v>48</v>
      </c>
      <c r="B108" s="3474"/>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74" t="s">
        <v>1608</v>
      </c>
      <c r="C111" s="1152" t="s">
        <v>1609</v>
      </c>
      <c r="D111" s="1066" t="s">
        <v>1610</v>
      </c>
      <c r="E111" s="1137">
        <v>0.2</v>
      </c>
      <c r="F111" s="1152">
        <v>30</v>
      </c>
    </row>
    <row r="112" spans="1:6" s="1103" customFormat="1" ht="24">
      <c r="A112" s="1152">
        <v>52</v>
      </c>
      <c r="B112" s="3474"/>
      <c r="C112" s="1152" t="s">
        <v>1611</v>
      </c>
      <c r="D112" s="1066" t="s">
        <v>1612</v>
      </c>
      <c r="E112" s="1137">
        <v>0.2</v>
      </c>
      <c r="F112" s="1152">
        <v>30</v>
      </c>
    </row>
    <row r="113" spans="1:14" s="1103" customFormat="1" ht="24">
      <c r="A113" s="1152">
        <v>53</v>
      </c>
      <c r="B113" s="3474"/>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74" t="s">
        <v>1621</v>
      </c>
      <c r="C116" s="1152" t="s">
        <v>1622</v>
      </c>
      <c r="D116" s="1066" t="s">
        <v>1623</v>
      </c>
      <c r="E116" s="1137">
        <v>0.2</v>
      </c>
      <c r="F116" s="1152">
        <v>30</v>
      </c>
    </row>
    <row r="117" spans="1:14" ht="36">
      <c r="A117" s="1152">
        <v>57</v>
      </c>
      <c r="B117" s="3474"/>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3" t="s">
        <v>1630</v>
      </c>
      <c r="B121" s="3473"/>
      <c r="C121" s="3473"/>
      <c r="D121" s="3473"/>
      <c r="E121" s="3473"/>
      <c r="F121" s="3473"/>
      <c r="G121" s="3473"/>
      <c r="H121" s="3473"/>
      <c r="I121" s="3473"/>
      <c r="J121" s="347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6" t="s">
        <v>1036</v>
      </c>
      <c r="B1" s="3486"/>
      <c r="C1" s="3486"/>
      <c r="D1" s="3486"/>
      <c r="E1" s="3486"/>
      <c r="F1" s="3486"/>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7" t="s">
        <v>1049</v>
      </c>
      <c r="B2" s="3487"/>
      <c r="C2" s="3487"/>
      <c r="D2" s="3487"/>
      <c r="E2" s="3487"/>
      <c r="F2" s="3487"/>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8"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9"/>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0" t="s">
        <v>2078</v>
      </c>
      <c r="B1" s="3490"/>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2077</v>
      </c>
      <c r="D3" s="3126" t="s">
        <v>2946</v>
      </c>
      <c r="E3" s="3127" t="e">
        <f ca="1">SUM(E7:E14)</f>
        <v>#REF!</v>
      </c>
      <c r="F3" s="3125"/>
    </row>
    <row r="4" spans="1:6" ht="14.25">
      <c r="A4" s="3126" t="s">
        <v>2954</v>
      </c>
      <c r="B4" s="3127" t="e">
        <f ca="1">ROUND(B2*10000/E4,0)</f>
        <v>#DIV/0!</v>
      </c>
      <c r="C4" s="3126" t="s">
        <v>2077</v>
      </c>
      <c r="D4" s="3126" t="s">
        <v>2955</v>
      </c>
      <c r="E4" s="3127" t="e">
        <f ca="1">SUM(F7:F14)</f>
        <v>#REF!</v>
      </c>
      <c r="F4" s="3125"/>
    </row>
    <row r="5" spans="1:6" ht="14.25">
      <c r="A5" s="3128"/>
      <c r="B5" s="1878"/>
      <c r="C5" s="1878"/>
      <c r="D5" s="1878"/>
      <c r="E5" s="1878"/>
      <c r="F5" s="3125"/>
    </row>
    <row r="6" spans="1:6" ht="28.5">
      <c r="A6" s="3129" t="s">
        <v>2951</v>
      </c>
      <c r="B6" s="3126" t="s">
        <v>2948</v>
      </c>
      <c r="C6" s="3127"/>
      <c r="D6" s="1878"/>
      <c r="E6" s="3126" t="s">
        <v>2949</v>
      </c>
      <c r="F6" s="3126" t="s">
        <v>2953</v>
      </c>
    </row>
    <row r="7" spans="1:6" ht="14.25">
      <c r="A7" s="259" t="s">
        <v>2952</v>
      </c>
      <c r="B7" s="3130" t="e">
        <f ca="1">SUMIF(INDIRECT("'"&amp;A7&amp;"'"&amp;"!A:A"),"总价",INDIRECT("'"&amp;A7&amp;"'"&amp;"!B:B"))</f>
        <v>#DIV/0!</v>
      </c>
      <c r="C7" s="3126" t="s">
        <v>2945</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2945</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2945</v>
      </c>
      <c r="D9" s="1878"/>
      <c r="E9" s="3131" t="e">
        <f t="shared" ca="1" si="1"/>
        <v>#REF!</v>
      </c>
      <c r="F9" s="3131" t="e">
        <f t="shared" ca="1" si="2"/>
        <v>#REF!</v>
      </c>
    </row>
    <row r="10" spans="1:6" ht="14.25">
      <c r="A10" s="259"/>
      <c r="B10" s="3130" t="e">
        <f t="shared" ca="1" si="0"/>
        <v>#REF!</v>
      </c>
      <c r="C10" s="3126" t="s">
        <v>2945</v>
      </c>
      <c r="D10" s="1878"/>
      <c r="E10" s="3131" t="e">
        <f t="shared" ca="1" si="1"/>
        <v>#REF!</v>
      </c>
      <c r="F10" s="3131" t="e">
        <f t="shared" ca="1" si="2"/>
        <v>#REF!</v>
      </c>
    </row>
    <row r="11" spans="1:6" ht="14.25">
      <c r="A11" s="259"/>
      <c r="B11" s="3130" t="e">
        <f t="shared" ca="1" si="0"/>
        <v>#REF!</v>
      </c>
      <c r="C11" s="3126" t="s">
        <v>2945</v>
      </c>
      <c r="D11" s="1878"/>
      <c r="E11" s="3131" t="e">
        <f t="shared" ca="1" si="1"/>
        <v>#REF!</v>
      </c>
      <c r="F11" s="3131" t="e">
        <f t="shared" ca="1" si="2"/>
        <v>#REF!</v>
      </c>
    </row>
    <row r="12" spans="1:6" ht="14.25">
      <c r="A12" s="259"/>
      <c r="B12" s="3130" t="e">
        <f t="shared" ca="1" si="0"/>
        <v>#REF!</v>
      </c>
      <c r="C12" s="3126" t="s">
        <v>2945</v>
      </c>
      <c r="D12" s="1878"/>
      <c r="E12" s="3131" t="e">
        <f t="shared" ca="1" si="1"/>
        <v>#REF!</v>
      </c>
      <c r="F12" s="3131" t="e">
        <f t="shared" ca="1" si="2"/>
        <v>#REF!</v>
      </c>
    </row>
    <row r="13" spans="1:6" ht="14.25">
      <c r="A13" s="259"/>
      <c r="B13" s="3130" t="e">
        <f t="shared" ca="1" si="0"/>
        <v>#REF!</v>
      </c>
      <c r="C13" s="3126" t="s">
        <v>2945</v>
      </c>
      <c r="D13" s="1878"/>
      <c r="E13" s="3131" t="e">
        <f t="shared" ca="1" si="1"/>
        <v>#REF!</v>
      </c>
      <c r="F13" s="3131" t="e">
        <f t="shared" ca="1" si="2"/>
        <v>#REF!</v>
      </c>
    </row>
    <row r="14" spans="1:6" ht="14.25">
      <c r="A14" s="3124"/>
      <c r="B14" s="3130" t="e">
        <f t="shared" ca="1" si="0"/>
        <v>#REF!</v>
      </c>
      <c r="C14" s="3126" t="s">
        <v>2945</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2" t="s">
        <v>2463</v>
      </c>
      <c r="C8" s="1822">
        <f ca="1">ROUND(F8*F10*F9*(1-F11)/10000,0)</f>
        <v>0</v>
      </c>
      <c r="D8" s="1819" t="s">
        <v>2534</v>
      </c>
      <c r="E8" s="61" t="s">
        <v>633</v>
      </c>
      <c r="F8" s="784">
        <f ca="1">INDIRECT("'数据-取费表'!u"&amp;$G$1)</f>
        <v>0</v>
      </c>
      <c r="G8" s="1588"/>
      <c r="H8" s="2525" t="s">
        <v>1821</v>
      </c>
      <c r="I8" s="3492" t="s">
        <v>2463</v>
      </c>
      <c r="J8" s="782">
        <f ca="1">ROUND(M8*M10*M9*(1-M11)/10000,0)</f>
        <v>0</v>
      </c>
      <c r="K8" s="340" t="s">
        <v>2534</v>
      </c>
      <c r="L8" s="783" t="s">
        <v>1735</v>
      </c>
      <c r="M8" s="784">
        <f ca="1">INDIRECT("'数据-取费表'!z"&amp;$G$1)</f>
        <v>0</v>
      </c>
    </row>
    <row r="9" spans="1:25" ht="18" customHeight="1">
      <c r="A9" s="2521"/>
      <c r="B9" s="3493"/>
      <c r="C9" s="1823"/>
      <c r="D9" s="1820"/>
      <c r="E9" s="61" t="s">
        <v>634</v>
      </c>
      <c r="F9" s="784">
        <f ca="1">IF(INDIRECT("'数据-取费表'!ah"&amp;$G$1)="",INDIRECT("'数据-取费表'!k"&amp;$G$1),INDIRECT("'数据-取费表'!ah"&amp;$G$1))</f>
        <v>0</v>
      </c>
      <c r="G9" s="1588"/>
      <c r="H9" s="2510"/>
      <c r="I9" s="3493"/>
      <c r="J9" s="787"/>
      <c r="K9" s="788"/>
      <c r="L9" s="783" t="s">
        <v>1736</v>
      </c>
      <c r="M9" s="784">
        <f ca="1">F9</f>
        <v>0</v>
      </c>
    </row>
    <row r="10" spans="1:25" ht="18" customHeight="1">
      <c r="A10" s="2514"/>
      <c r="B10" s="3494"/>
      <c r="C10" s="1823"/>
      <c r="D10" s="1820"/>
      <c r="E10" s="61" t="s">
        <v>635</v>
      </c>
      <c r="F10" s="784">
        <f ca="1">INDIRECT("'数据-取费表'!ai"&amp;$G$1)</f>
        <v>0</v>
      </c>
      <c r="G10" s="1588"/>
      <c r="H10" s="2510"/>
      <c r="I10" s="3494"/>
      <c r="J10" s="787"/>
      <c r="K10" s="788"/>
      <c r="L10" s="783" t="s">
        <v>1737</v>
      </c>
      <c r="M10" s="784">
        <f ca="1">INDIRECT("'数据-取费表'!ai"&amp;$G$1)</f>
        <v>0</v>
      </c>
    </row>
    <row r="11" spans="1:25" ht="18" customHeight="1">
      <c r="A11" s="785"/>
      <c r="B11" s="3495"/>
      <c r="C11" s="1823"/>
      <c r="D11" s="1820"/>
      <c r="E11" s="61" t="s">
        <v>636</v>
      </c>
      <c r="F11" s="793">
        <f ca="1">INDIRECT("'数据-取费表'!w"&amp;$G$1)</f>
        <v>0</v>
      </c>
      <c r="G11" s="1588"/>
      <c r="H11" s="2526"/>
      <c r="I11" s="3494"/>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2975</v>
      </c>
      <c r="E12" s="2519" t="s">
        <v>2464</v>
      </c>
      <c r="F12" s="2642"/>
      <c r="G12" s="1588"/>
      <c r="H12" s="2582" t="s">
        <v>1822</v>
      </c>
      <c r="I12" s="2587" t="s">
        <v>2459</v>
      </c>
      <c r="J12" s="782">
        <f ca="1">ROUND(IF(M12="押一",J8/12*M13,IF(M12="押二",J8/12*2*M13,IF(M12="押三",J8/12*3*M13,J13*M13))),0)</f>
        <v>0</v>
      </c>
      <c r="K12" s="2522" t="s">
        <v>2975</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180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0.02</v>
      </c>
      <c r="G22" s="1589"/>
      <c r="H22" s="1829" t="s">
        <v>1847</v>
      </c>
      <c r="I22" s="1819" t="s">
        <v>664</v>
      </c>
      <c r="J22" s="54">
        <f ca="1">ROUND(M22*M23/10000,0)</f>
        <v>0</v>
      </c>
      <c r="K22" s="813" t="s">
        <v>665</v>
      </c>
      <c r="L22" s="783" t="s">
        <v>666</v>
      </c>
      <c r="M22" s="639">
        <f>'数据-取费表'!B52</f>
        <v>5</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0.02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5</v>
      </c>
      <c r="G36" s="2059"/>
      <c r="H36" s="2062"/>
      <c r="I36" s="3491"/>
      <c r="J36" s="2076"/>
      <c r="K36" s="2077"/>
      <c r="L36" s="2076"/>
      <c r="M36" s="2076"/>
    </row>
    <row r="37" spans="1:18" ht="18" customHeight="1">
      <c r="A37" s="814"/>
      <c r="B37" s="792"/>
      <c r="C37" s="69"/>
      <c r="D37" s="815"/>
      <c r="E37" s="783" t="s">
        <v>670</v>
      </c>
      <c r="F37" s="784">
        <f ca="1">INDIRECT("'数据-取费表'!r"&amp;$G$1)</f>
        <v>0</v>
      </c>
      <c r="G37" s="2059"/>
      <c r="H37" s="2062"/>
      <c r="I37" s="3491"/>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2963</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2966</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6"/>
      <c r="L54" s="3497"/>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0" t="s">
        <v>2576</v>
      </c>
      <c r="C1" s="3500"/>
      <c r="D1" s="3500"/>
      <c r="E1" s="3500"/>
      <c r="F1" s="3500"/>
      <c r="G1" s="3499" t="s">
        <v>2577</v>
      </c>
      <c r="H1" s="3499"/>
      <c r="I1" s="3499"/>
      <c r="J1" s="3499"/>
      <c r="K1" s="3499"/>
      <c r="L1" s="3499"/>
      <c r="N1" s="3499" t="s">
        <v>2578</v>
      </c>
      <c r="O1" s="3499"/>
      <c r="P1" s="3499"/>
      <c r="Q1" s="3499"/>
      <c r="R1" s="2675"/>
      <c r="S1" s="3499" t="s">
        <v>2579</v>
      </c>
      <c r="T1" s="3499"/>
      <c r="U1" s="3499"/>
      <c r="V1" s="3499"/>
      <c r="X1" s="3498" t="s">
        <v>2639</v>
      </c>
      <c r="Y1" s="3499"/>
      <c r="Z1" s="3499"/>
      <c r="AA1" s="3499"/>
      <c r="AB1" s="3499"/>
      <c r="AD1" s="3498" t="s">
        <v>2643</v>
      </c>
      <c r="AE1" s="3499"/>
      <c r="AF1" s="3499"/>
      <c r="AG1" s="3499"/>
      <c r="AH1" s="3499"/>
    </row>
    <row r="2" spans="1:34" s="2777" customFormat="1" ht="14.25" thickBot="1">
      <c r="B2" s="2785" t="s">
        <v>2580</v>
      </c>
      <c r="C2" s="2785" t="s">
        <v>2641</v>
      </c>
      <c r="D2" s="2778" t="s">
        <v>1641</v>
      </c>
      <c r="E2" s="2778" t="s">
        <v>1948</v>
      </c>
      <c r="F2" s="2785" t="s">
        <v>2642</v>
      </c>
      <c r="G2" s="2781"/>
      <c r="H2" s="2780"/>
      <c r="I2" s="2785" t="s">
        <v>2957</v>
      </c>
      <c r="J2" s="2778" t="s">
        <v>2959</v>
      </c>
      <c r="K2" s="2778" t="s">
        <v>2960</v>
      </c>
      <c r="L2" s="2785" t="s">
        <v>2961</v>
      </c>
      <c r="N2" s="2785" t="s">
        <v>2580</v>
      </c>
      <c r="O2" s="2778" t="s">
        <v>2958</v>
      </c>
      <c r="P2" s="2778" t="s">
        <v>1948</v>
      </c>
      <c r="Q2" s="2785" t="s">
        <v>2642</v>
      </c>
      <c r="R2" s="2779"/>
      <c r="S2" s="2785" t="s">
        <v>2580</v>
      </c>
      <c r="T2" s="2778" t="s">
        <v>2958</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2970</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2971</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2968</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07">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2"/>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2"/>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3"/>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501">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2"/>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2"/>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3"/>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501">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2"/>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2"/>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3"/>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4">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5"/>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5"/>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6"/>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501">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02"/>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02"/>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3"/>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501">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2">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02">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3">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501">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2">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02">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3">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501">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2">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02">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3">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501">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2">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02">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3">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501">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2">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02">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3">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501">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2">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02">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3">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501">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2">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02">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3">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501">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2">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02">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3">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501">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02">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02">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3">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501">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02">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02">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3">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H51" sqref="H5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3207</v>
      </c>
      <c r="E1" s="2647"/>
      <c r="F1" s="2828" t="s">
        <v>3120</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3240"/>
      <c r="Y4" s="3426" t="s">
        <v>523</v>
      </c>
      <c r="Z4" s="3427"/>
      <c r="AA4" s="3421" t="s">
        <v>519</v>
      </c>
      <c r="AB4" s="3421" t="s">
        <v>520</v>
      </c>
      <c r="AC4" s="3421" t="s">
        <v>521</v>
      </c>
    </row>
    <row r="5" spans="1:29" ht="15">
      <c r="A5" s="514"/>
      <c r="B5" s="515"/>
      <c r="C5" s="3449" t="s">
        <v>2927</v>
      </c>
      <c r="D5" s="3450"/>
      <c r="E5" s="3508" t="s">
        <v>3204</v>
      </c>
      <c r="F5" s="3465"/>
      <c r="G5" s="3509" t="s">
        <v>3224</v>
      </c>
      <c r="H5" s="3450"/>
      <c r="I5" s="3509" t="s">
        <v>3225</v>
      </c>
      <c r="J5" s="3450"/>
      <c r="K5" s="853"/>
      <c r="L5" s="2130"/>
      <c r="M5" s="2131"/>
      <c r="N5" s="2131"/>
      <c r="O5" s="2131"/>
      <c r="P5" s="3442"/>
      <c r="Q5" s="3443"/>
      <c r="R5" s="3428"/>
      <c r="S5" s="3429"/>
      <c r="T5" s="3428"/>
      <c r="U5" s="3429"/>
      <c r="V5" s="3446"/>
      <c r="W5" s="3446"/>
      <c r="X5" s="3240"/>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3240"/>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32" t="s">
        <v>531</v>
      </c>
      <c r="Q9" s="3237" t="str">
        <f t="shared" ref="Q9:Q15" si="6">B9</f>
        <v>用途</v>
      </c>
      <c r="R9" s="1564" t="s">
        <v>8</v>
      </c>
      <c r="S9" s="1565">
        <f t="shared" si="0"/>
        <v>100</v>
      </c>
      <c r="T9" s="1564" t="s">
        <v>8</v>
      </c>
      <c r="U9" s="1565">
        <f t="shared" si="1"/>
        <v>100</v>
      </c>
      <c r="V9" s="1564" t="s">
        <v>8</v>
      </c>
      <c r="W9" s="1565">
        <f t="shared" si="2"/>
        <v>100</v>
      </c>
      <c r="X9" s="1566"/>
      <c r="Y9" s="3389" t="s">
        <v>532</v>
      </c>
      <c r="Z9" s="3236"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32"/>
      <c r="Q10" s="3237" t="str">
        <f t="shared" si="6"/>
        <v>土地使用年限（年）</v>
      </c>
      <c r="R10" s="1564" t="s">
        <v>8</v>
      </c>
      <c r="S10" s="1565">
        <f t="shared" si="0"/>
        <v>100</v>
      </c>
      <c r="T10" s="1564" t="s">
        <v>8</v>
      </c>
      <c r="U10" s="1565">
        <f t="shared" si="1"/>
        <v>100</v>
      </c>
      <c r="V10" s="1564" t="s">
        <v>8</v>
      </c>
      <c r="W10" s="1565">
        <f t="shared" si="2"/>
        <v>100</v>
      </c>
      <c r="X10" s="1566"/>
      <c r="Y10" s="3389"/>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3237" t="str">
        <f t="shared" si="6"/>
        <v>容积率</v>
      </c>
      <c r="R11" s="1564" t="s">
        <v>11</v>
      </c>
      <c r="S11" s="1565">
        <f t="shared" si="0"/>
        <v>102</v>
      </c>
      <c r="T11" s="1564" t="s">
        <v>11</v>
      </c>
      <c r="U11" s="1565">
        <f t="shared" si="1"/>
        <v>96</v>
      </c>
      <c r="V11" s="1564" t="s">
        <v>11</v>
      </c>
      <c r="W11" s="1565">
        <f t="shared" si="2"/>
        <v>98</v>
      </c>
      <c r="X11" s="1566"/>
      <c r="Y11" s="3389"/>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3237">
        <f t="shared" si="6"/>
        <v>111</v>
      </c>
      <c r="R12" s="1564" t="s">
        <v>11</v>
      </c>
      <c r="S12" s="1565">
        <f t="shared" si="0"/>
        <v>100</v>
      </c>
      <c r="T12" s="1564" t="s">
        <v>11</v>
      </c>
      <c r="U12" s="1565">
        <f t="shared" si="1"/>
        <v>100</v>
      </c>
      <c r="V12" s="1564" t="s">
        <v>11</v>
      </c>
      <c r="W12" s="1565">
        <f t="shared" si="2"/>
        <v>100</v>
      </c>
      <c r="X12" s="1566"/>
      <c r="Y12" s="3389"/>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3237">
        <f t="shared" si="6"/>
        <v>111</v>
      </c>
      <c r="R13" s="1564" t="s">
        <v>11</v>
      </c>
      <c r="S13" s="1565">
        <f t="shared" si="0"/>
        <v>100</v>
      </c>
      <c r="T13" s="1564" t="s">
        <v>11</v>
      </c>
      <c r="U13" s="1565">
        <f t="shared" si="1"/>
        <v>100</v>
      </c>
      <c r="V13" s="1564" t="s">
        <v>11</v>
      </c>
      <c r="W13" s="1565">
        <f t="shared" si="2"/>
        <v>100</v>
      </c>
      <c r="X13" s="1566"/>
      <c r="Y13" s="3389"/>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3237">
        <f t="shared" si="6"/>
        <v>111</v>
      </c>
      <c r="R14" s="1564" t="s">
        <v>11</v>
      </c>
      <c r="S14" s="1565">
        <f t="shared" si="0"/>
        <v>100</v>
      </c>
      <c r="T14" s="1564" t="s">
        <v>11</v>
      </c>
      <c r="U14" s="1565">
        <f t="shared" si="1"/>
        <v>100</v>
      </c>
      <c r="V14" s="1564" t="s">
        <v>11</v>
      </c>
      <c r="W14" s="1565">
        <f t="shared" si="2"/>
        <v>100</v>
      </c>
      <c r="X14" s="1566"/>
      <c r="Y14" s="3389"/>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3238" t="str">
        <f t="shared" si="6"/>
        <v>居住社区成熟度</v>
      </c>
      <c r="R15" s="1569" t="s">
        <v>11</v>
      </c>
      <c r="S15" s="1570">
        <f t="shared" si="0"/>
        <v>100</v>
      </c>
      <c r="T15" s="1569" t="s">
        <v>11</v>
      </c>
      <c r="U15" s="1570">
        <f t="shared" si="1"/>
        <v>100</v>
      </c>
      <c r="V15" s="1569" t="s">
        <v>11</v>
      </c>
      <c r="W15" s="1570">
        <f t="shared" si="2"/>
        <v>100</v>
      </c>
      <c r="X15" s="3240"/>
      <c r="Y15" s="3434" t="s">
        <v>536</v>
      </c>
      <c r="Z15" s="3239" t="str">
        <f t="shared" si="7"/>
        <v>居住社区成熟度</v>
      </c>
      <c r="AA15" s="3241">
        <f t="shared" si="3"/>
        <v>1</v>
      </c>
      <c r="AB15" s="3241">
        <f t="shared" si="4"/>
        <v>1</v>
      </c>
      <c r="AC15" s="3241">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5"/>
      <c r="Q16" s="3238"/>
      <c r="R16" s="1569"/>
      <c r="S16" s="1570"/>
      <c r="T16" s="1569"/>
      <c r="U16" s="1570"/>
      <c r="V16" s="1569"/>
      <c r="W16" s="1570"/>
      <c r="X16" s="3240"/>
      <c r="Y16" s="3435"/>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3238" t="str">
        <f>B17</f>
        <v>交通便捷度</v>
      </c>
      <c r="R17" s="1569" t="s">
        <v>11</v>
      </c>
      <c r="S17" s="1570">
        <f>F17</f>
        <v>100</v>
      </c>
      <c r="T17" s="1569" t="s">
        <v>11</v>
      </c>
      <c r="U17" s="1570">
        <f>H17</f>
        <v>100</v>
      </c>
      <c r="V17" s="1569" t="s">
        <v>11</v>
      </c>
      <c r="W17" s="1570">
        <f>J17</f>
        <v>100</v>
      </c>
      <c r="X17" s="3240"/>
      <c r="Y17" s="3435"/>
      <c r="Z17" s="3239" t="str">
        <f>Q17</f>
        <v>交通便捷度</v>
      </c>
      <c r="AA17" s="3241">
        <f t="shared" si="3"/>
        <v>1</v>
      </c>
      <c r="AB17" s="3241">
        <f t="shared" si="4"/>
        <v>1</v>
      </c>
      <c r="AC17" s="3241">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5"/>
      <c r="Q18" s="3238"/>
      <c r="R18" s="1569"/>
      <c r="S18" s="1570"/>
      <c r="T18" s="1569"/>
      <c r="U18" s="1570"/>
      <c r="V18" s="1569"/>
      <c r="W18" s="1570"/>
      <c r="X18" s="3240"/>
      <c r="Y18" s="3435"/>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3238" t="str">
        <f>B19</f>
        <v>公共配套设施</v>
      </c>
      <c r="R19" s="1569" t="s">
        <v>11</v>
      </c>
      <c r="S19" s="1570">
        <f>F19</f>
        <v>100</v>
      </c>
      <c r="T19" s="1569" t="s">
        <v>11</v>
      </c>
      <c r="U19" s="1570">
        <f>H19</f>
        <v>100</v>
      </c>
      <c r="V19" s="1569" t="s">
        <v>11</v>
      </c>
      <c r="W19" s="1570">
        <f>J19</f>
        <v>100</v>
      </c>
      <c r="X19" s="3240"/>
      <c r="Y19" s="3435"/>
      <c r="Z19" s="3239" t="str">
        <f>Q19</f>
        <v>公共配套设施</v>
      </c>
      <c r="AA19" s="3241">
        <f t="shared" si="3"/>
        <v>1</v>
      </c>
      <c r="AB19" s="3241">
        <f t="shared" si="4"/>
        <v>1</v>
      </c>
      <c r="AC19" s="3241">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5"/>
      <c r="Q20" s="3238"/>
      <c r="R20" s="1569"/>
      <c r="S20" s="1570"/>
      <c r="T20" s="1569"/>
      <c r="U20" s="1570"/>
      <c r="V20" s="1569"/>
      <c r="W20" s="1570"/>
      <c r="X20" s="3240"/>
      <c r="Y20" s="3435"/>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3238" t="str">
        <f>B21</f>
        <v>基础设施水平</v>
      </c>
      <c r="R21" s="1569" t="s">
        <v>11</v>
      </c>
      <c r="S21" s="1570">
        <f>F21</f>
        <v>100</v>
      </c>
      <c r="T21" s="1569" t="s">
        <v>11</v>
      </c>
      <c r="U21" s="1570">
        <f>H21</f>
        <v>100</v>
      </c>
      <c r="V21" s="1569" t="s">
        <v>11</v>
      </c>
      <c r="W21" s="1570">
        <f>J21</f>
        <v>100</v>
      </c>
      <c r="X21" s="3240"/>
      <c r="Y21" s="3435"/>
      <c r="Z21" s="3239" t="str">
        <f>Q21</f>
        <v>基础设施水平</v>
      </c>
      <c r="AA21" s="3241">
        <f t="shared" ref="AA21" si="8">D21/F21</f>
        <v>1</v>
      </c>
      <c r="AB21" s="3241">
        <f t="shared" ref="AB21" si="9">D21/H21</f>
        <v>1</v>
      </c>
      <c r="AC21" s="3241">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5"/>
      <c r="Q22" s="3238"/>
      <c r="R22" s="1569"/>
      <c r="S22" s="1570"/>
      <c r="T22" s="1569"/>
      <c r="U22" s="1570"/>
      <c r="V22" s="1569"/>
      <c r="W22" s="1570"/>
      <c r="X22" s="3240"/>
      <c r="Y22" s="3435"/>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3238" t="str">
        <f>B23</f>
        <v>自然及人文环境</v>
      </c>
      <c r="R23" s="1569" t="s">
        <v>11</v>
      </c>
      <c r="S23" s="1570">
        <f>F23</f>
        <v>100</v>
      </c>
      <c r="T23" s="1569" t="s">
        <v>11</v>
      </c>
      <c r="U23" s="1570">
        <f>H23</f>
        <v>100</v>
      </c>
      <c r="V23" s="1569" t="s">
        <v>11</v>
      </c>
      <c r="W23" s="1570">
        <f>J23</f>
        <v>100</v>
      </c>
      <c r="X23" s="3240"/>
      <c r="Y23" s="3435"/>
      <c r="Z23" s="3239" t="str">
        <f>Q23</f>
        <v>自然及人文环境</v>
      </c>
      <c r="AA23" s="3241">
        <f t="shared" si="3"/>
        <v>1</v>
      </c>
      <c r="AB23" s="3241">
        <f t="shared" si="4"/>
        <v>1</v>
      </c>
      <c r="AC23" s="3241">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5"/>
      <c r="Q24" s="3238"/>
      <c r="R24" s="1569"/>
      <c r="S24" s="1570"/>
      <c r="T24" s="1569"/>
      <c r="U24" s="1570"/>
      <c r="V24" s="1569"/>
      <c r="W24" s="1570"/>
      <c r="X24" s="3240"/>
      <c r="Y24" s="3435"/>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3238" t="str">
        <f t="shared" ref="Q25:Q46" si="11">B25</f>
        <v>楼层-1</v>
      </c>
      <c r="R25" s="1569" t="s">
        <v>11</v>
      </c>
      <c r="S25" s="1570">
        <f>F25</f>
        <v>100</v>
      </c>
      <c r="T25" s="1569" t="s">
        <v>11</v>
      </c>
      <c r="U25" s="1570">
        <f>H25</f>
        <v>100</v>
      </c>
      <c r="V25" s="1569" t="s">
        <v>11</v>
      </c>
      <c r="W25" s="1570">
        <f>J25</f>
        <v>100</v>
      </c>
      <c r="X25" s="3240"/>
      <c r="Y25" s="3435"/>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3238" t="str">
        <f t="shared" si="11"/>
        <v>朝向</v>
      </c>
      <c r="R26" s="1569" t="s">
        <v>11</v>
      </c>
      <c r="S26" s="1570">
        <f>F26</f>
        <v>100</v>
      </c>
      <c r="T26" s="1569" t="s">
        <v>11</v>
      </c>
      <c r="U26" s="1570">
        <f>H26</f>
        <v>100</v>
      </c>
      <c r="V26" s="1569" t="s">
        <v>11</v>
      </c>
      <c r="W26" s="1570">
        <f>J26</f>
        <v>100</v>
      </c>
      <c r="X26" s="3240"/>
      <c r="Y26" s="3435"/>
      <c r="Z26" s="3239" t="str">
        <f>Q26</f>
        <v>朝向</v>
      </c>
      <c r="AA26" s="3241">
        <f t="shared" si="3"/>
        <v>1</v>
      </c>
      <c r="AB26" s="3241">
        <f t="shared" si="4"/>
        <v>1</v>
      </c>
      <c r="AC26" s="3241">
        <f t="shared" si="5"/>
        <v>1</v>
      </c>
    </row>
    <row r="27" spans="1:29" s="1218" customFormat="1" ht="15">
      <c r="A27" s="535"/>
      <c r="B27" s="536" t="s">
        <v>720</v>
      </c>
      <c r="C27" s="3243" t="s">
        <v>3233</v>
      </c>
      <c r="D27" s="874">
        <v>100</v>
      </c>
      <c r="E27" s="3243" t="s">
        <v>3233</v>
      </c>
      <c r="F27" s="875">
        <f>SUMIF(90:90,E27,91:91)-SUMIF(90:90,C27,91:91)+100</f>
        <v>100</v>
      </c>
      <c r="G27" s="3203" t="s">
        <v>3232</v>
      </c>
      <c r="H27" s="874">
        <f>SUMIF(90:90,G27,91:91)-SUMIF(90:90,C27,91:91)+100</f>
        <v>101</v>
      </c>
      <c r="I27" s="3243" t="s">
        <v>3233</v>
      </c>
      <c r="J27" s="874">
        <f>SUMIF(90:90,I27,91:91)-SUMIF(90:90,C27,91:91)+100</f>
        <v>100</v>
      </c>
      <c r="K27" s="864"/>
      <c r="L27" s="2132"/>
      <c r="M27" s="2133"/>
      <c r="N27" s="2133"/>
      <c r="O27" s="2134"/>
      <c r="P27" s="3435"/>
      <c r="Q27" s="3237" t="str">
        <f t="shared" si="11"/>
        <v>道路级别</v>
      </c>
      <c r="R27" s="1564" t="s">
        <v>11</v>
      </c>
      <c r="S27" s="1565">
        <f>F27</f>
        <v>100</v>
      </c>
      <c r="T27" s="1564" t="s">
        <v>11</v>
      </c>
      <c r="U27" s="1565">
        <f>H27</f>
        <v>101</v>
      </c>
      <c r="V27" s="1564" t="s">
        <v>11</v>
      </c>
      <c r="W27" s="1565">
        <f>J27</f>
        <v>100</v>
      </c>
      <c r="X27" s="1566"/>
      <c r="Y27" s="3435"/>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3238">
        <f t="shared" si="11"/>
        <v>111</v>
      </c>
      <c r="R28" s="1569" t="s">
        <v>11</v>
      </c>
      <c r="S28" s="1570">
        <f t="shared" ref="S28:S46" si="12">F28</f>
        <v>100</v>
      </c>
      <c r="T28" s="1569" t="s">
        <v>11</v>
      </c>
      <c r="U28" s="1570">
        <f t="shared" ref="U28:U46" si="13">H28</f>
        <v>100</v>
      </c>
      <c r="V28" s="1569" t="s">
        <v>11</v>
      </c>
      <c r="W28" s="1570">
        <f t="shared" ref="W28:W46" si="14">J28</f>
        <v>100</v>
      </c>
      <c r="X28" s="3240"/>
      <c r="Y28" s="3435"/>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3238">
        <f t="shared" si="11"/>
        <v>111</v>
      </c>
      <c r="R29" s="1569" t="s">
        <v>11</v>
      </c>
      <c r="S29" s="1570">
        <f t="shared" si="12"/>
        <v>100</v>
      </c>
      <c r="T29" s="1569" t="s">
        <v>11</v>
      </c>
      <c r="U29" s="1570">
        <f t="shared" si="13"/>
        <v>100</v>
      </c>
      <c r="V29" s="1569" t="s">
        <v>11</v>
      </c>
      <c r="W29" s="1570">
        <f t="shared" si="14"/>
        <v>100</v>
      </c>
      <c r="X29" s="3240"/>
      <c r="Y29" s="3435"/>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3238">
        <f t="shared" si="11"/>
        <v>111</v>
      </c>
      <c r="R30" s="1569" t="s">
        <v>11</v>
      </c>
      <c r="S30" s="1570">
        <f t="shared" si="12"/>
        <v>100</v>
      </c>
      <c r="T30" s="1569" t="s">
        <v>11</v>
      </c>
      <c r="U30" s="1570">
        <f t="shared" si="13"/>
        <v>100</v>
      </c>
      <c r="V30" s="1569" t="s">
        <v>11</v>
      </c>
      <c r="W30" s="1570">
        <f t="shared" si="14"/>
        <v>100</v>
      </c>
      <c r="X30" s="3240"/>
      <c r="Y30" s="3435"/>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3238">
        <f t="shared" si="11"/>
        <v>111</v>
      </c>
      <c r="R31" s="1569" t="s">
        <v>11</v>
      </c>
      <c r="S31" s="1570">
        <f t="shared" si="12"/>
        <v>100</v>
      </c>
      <c r="T31" s="1569" t="s">
        <v>11</v>
      </c>
      <c r="U31" s="1570">
        <f t="shared" si="13"/>
        <v>100</v>
      </c>
      <c r="V31" s="1569" t="s">
        <v>11</v>
      </c>
      <c r="W31" s="1570">
        <f t="shared" si="14"/>
        <v>100</v>
      </c>
      <c r="X31" s="3240"/>
      <c r="Y31" s="3435"/>
      <c r="Z31" s="3239">
        <f t="shared" si="15"/>
        <v>111</v>
      </c>
      <c r="AA31" s="3241">
        <f t="shared" si="3"/>
        <v>1</v>
      </c>
      <c r="AB31" s="3241">
        <f t="shared" si="4"/>
        <v>1</v>
      </c>
      <c r="AC31" s="3241">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6" t="s">
        <v>546</v>
      </c>
      <c r="Q32" s="3238" t="str">
        <f t="shared" si="11"/>
        <v>建筑类型</v>
      </c>
      <c r="R32" s="1569" t="s">
        <v>11</v>
      </c>
      <c r="S32" s="1570">
        <f t="shared" si="12"/>
        <v>100</v>
      </c>
      <c r="T32" s="1569" t="s">
        <v>11</v>
      </c>
      <c r="U32" s="1570">
        <f t="shared" si="13"/>
        <v>100</v>
      </c>
      <c r="V32" s="1569" t="s">
        <v>11</v>
      </c>
      <c r="W32" s="1570">
        <f t="shared" si="14"/>
        <v>100</v>
      </c>
      <c r="X32" s="3240"/>
      <c r="Y32" s="3437"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3241">
        <f t="shared" si="3"/>
        <v>1</v>
      </c>
      <c r="AB33" s="3241">
        <f t="shared" si="4"/>
        <v>0.98039215686274506</v>
      </c>
      <c r="AC33" s="3241">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7"/>
      <c r="Q34" s="3238" t="str">
        <f t="shared" si="11"/>
        <v>建筑结构</v>
      </c>
      <c r="R34" s="1569" t="s">
        <v>11</v>
      </c>
      <c r="S34" s="1570">
        <f t="shared" si="12"/>
        <v>100</v>
      </c>
      <c r="T34" s="1569" t="s">
        <v>11</v>
      </c>
      <c r="U34" s="1570">
        <f t="shared" si="13"/>
        <v>100</v>
      </c>
      <c r="V34" s="1569" t="s">
        <v>11</v>
      </c>
      <c r="W34" s="1570">
        <f t="shared" si="14"/>
        <v>100</v>
      </c>
      <c r="X34" s="3240"/>
      <c r="Y34" s="3437"/>
      <c r="Z34" s="3239" t="str">
        <f t="shared" si="15"/>
        <v>建筑结构</v>
      </c>
      <c r="AA34" s="3241">
        <f t="shared" si="3"/>
        <v>1</v>
      </c>
      <c r="AB34" s="3241">
        <f t="shared" si="4"/>
        <v>1</v>
      </c>
      <c r="AC34" s="3241">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7"/>
      <c r="Q35" s="3238" t="str">
        <f t="shared" si="11"/>
        <v>建筑品质</v>
      </c>
      <c r="R35" s="1569" t="s">
        <v>11</v>
      </c>
      <c r="S35" s="1570">
        <f t="shared" si="12"/>
        <v>100</v>
      </c>
      <c r="T35" s="1569" t="s">
        <v>11</v>
      </c>
      <c r="U35" s="1570">
        <f t="shared" si="13"/>
        <v>100</v>
      </c>
      <c r="V35" s="1569" t="s">
        <v>11</v>
      </c>
      <c r="W35" s="1570">
        <f t="shared" si="14"/>
        <v>100</v>
      </c>
      <c r="X35" s="3240"/>
      <c r="Y35" s="3437"/>
      <c r="Z35" s="3239" t="str">
        <f t="shared" si="15"/>
        <v>建筑品质</v>
      </c>
      <c r="AA35" s="3241">
        <f t="shared" si="3"/>
        <v>1</v>
      </c>
      <c r="AB35" s="3241">
        <f t="shared" si="4"/>
        <v>1</v>
      </c>
      <c r="AC35" s="3241">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7"/>
      <c r="Q36" s="3238" t="str">
        <f t="shared" si="11"/>
        <v>公共部分装修</v>
      </c>
      <c r="R36" s="1569" t="s">
        <v>11</v>
      </c>
      <c r="S36" s="1570">
        <f t="shared" si="12"/>
        <v>100</v>
      </c>
      <c r="T36" s="1569" t="s">
        <v>11</v>
      </c>
      <c r="U36" s="1570">
        <f t="shared" si="13"/>
        <v>100</v>
      </c>
      <c r="V36" s="1569" t="s">
        <v>11</v>
      </c>
      <c r="W36" s="1570">
        <f t="shared" si="14"/>
        <v>100</v>
      </c>
      <c r="X36" s="3240"/>
      <c r="Y36" s="3437"/>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3237" t="str">
        <f t="shared" si="11"/>
        <v>成新度</v>
      </c>
      <c r="R37" s="1564" t="s">
        <v>11</v>
      </c>
      <c r="S37" s="1565">
        <f t="shared" si="12"/>
        <v>100</v>
      </c>
      <c r="T37" s="1564" t="s">
        <v>11</v>
      </c>
      <c r="U37" s="1565">
        <f t="shared" si="13"/>
        <v>100</v>
      </c>
      <c r="V37" s="1564" t="s">
        <v>11</v>
      </c>
      <c r="W37" s="1565">
        <f t="shared" si="14"/>
        <v>99</v>
      </c>
      <c r="X37" s="1566"/>
      <c r="Y37" s="3437"/>
      <c r="Z37" s="3236"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7" t="s">
        <v>546</v>
      </c>
      <c r="Q38" s="3238" t="str">
        <f t="shared" si="11"/>
        <v>物业管理</v>
      </c>
      <c r="R38" s="1569" t="s">
        <v>11</v>
      </c>
      <c r="S38" s="1570">
        <f t="shared" si="12"/>
        <v>100</v>
      </c>
      <c r="T38" s="1569" t="s">
        <v>11</v>
      </c>
      <c r="U38" s="1570">
        <f t="shared" si="13"/>
        <v>100</v>
      </c>
      <c r="V38" s="1569" t="s">
        <v>11</v>
      </c>
      <c r="W38" s="1570">
        <f t="shared" si="14"/>
        <v>100</v>
      </c>
      <c r="X38" s="3240"/>
      <c r="Y38" s="3437" t="s">
        <v>546</v>
      </c>
      <c r="Z38" s="3239" t="str">
        <f t="shared" si="15"/>
        <v>物业管理</v>
      </c>
      <c r="AA38" s="3241">
        <f t="shared" si="3"/>
        <v>1</v>
      </c>
      <c r="AB38" s="3241">
        <f t="shared" si="4"/>
        <v>1</v>
      </c>
      <c r="AC38" s="3241">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7"/>
      <c r="Q39" s="3238" t="str">
        <f t="shared" si="11"/>
        <v>市政基础设施</v>
      </c>
      <c r="R39" s="1569" t="s">
        <v>11</v>
      </c>
      <c r="S39" s="1570">
        <f t="shared" si="12"/>
        <v>100</v>
      </c>
      <c r="T39" s="1569" t="s">
        <v>11</v>
      </c>
      <c r="U39" s="1570">
        <f t="shared" si="13"/>
        <v>100</v>
      </c>
      <c r="V39" s="1569" t="s">
        <v>11</v>
      </c>
      <c r="W39" s="1570">
        <f t="shared" si="14"/>
        <v>100</v>
      </c>
      <c r="X39" s="3240"/>
      <c r="Y39" s="3437"/>
      <c r="Z39" s="3239" t="str">
        <f t="shared" si="15"/>
        <v>市政基础设施</v>
      </c>
      <c r="AA39" s="3241">
        <f t="shared" si="3"/>
        <v>1</v>
      </c>
      <c r="AB39" s="3241">
        <f t="shared" si="4"/>
        <v>1</v>
      </c>
      <c r="AC39" s="3241">
        <f t="shared" si="5"/>
        <v>1</v>
      </c>
    </row>
    <row r="40" spans="1:29" ht="15">
      <c r="A40" s="593"/>
      <c r="B40" s="526" t="s">
        <v>728</v>
      </c>
      <c r="C40" s="598" t="s">
        <v>3227</v>
      </c>
      <c r="D40" s="539">
        <v>100</v>
      </c>
      <c r="E40" s="598" t="s">
        <v>3226</v>
      </c>
      <c r="F40" s="574">
        <f>SUMIF(118:118,E40,119:119)-SUMIF(118:118,C40,119:119)+100</f>
        <v>85</v>
      </c>
      <c r="G40" s="598" t="s">
        <v>3226</v>
      </c>
      <c r="H40" s="539">
        <f>SUMIF(118:118,G40,119:119)-SUMIF(118:118,C40,119:119)+100</f>
        <v>85</v>
      </c>
      <c r="I40" s="598" t="s">
        <v>3226</v>
      </c>
      <c r="J40" s="539">
        <f>SUMIF(118:118,I40,119:119)-SUMIF(118:118,C40,119:119)+100</f>
        <v>85</v>
      </c>
      <c r="K40" s="863">
        <v>15</v>
      </c>
      <c r="L40" s="2139"/>
      <c r="M40" s="2131"/>
      <c r="N40" s="2131"/>
      <c r="O40" s="2138"/>
      <c r="P40" s="3437"/>
      <c r="Q40" s="3238" t="str">
        <f t="shared" si="11"/>
        <v>房型</v>
      </c>
      <c r="R40" s="1569" t="s">
        <v>11</v>
      </c>
      <c r="S40" s="1570">
        <f t="shared" si="12"/>
        <v>85</v>
      </c>
      <c r="T40" s="1569" t="s">
        <v>11</v>
      </c>
      <c r="U40" s="1570">
        <f t="shared" si="13"/>
        <v>85</v>
      </c>
      <c r="V40" s="1569" t="s">
        <v>11</v>
      </c>
      <c r="W40" s="1570">
        <f t="shared" si="14"/>
        <v>85</v>
      </c>
      <c r="X40" s="3240"/>
      <c r="Y40" s="3437"/>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3241">
        <f t="shared" si="3"/>
        <v>1</v>
      </c>
      <c r="AB41" s="3241">
        <f t="shared" si="4"/>
        <v>1</v>
      </c>
      <c r="AC41" s="3241">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7"/>
      <c r="Q42" s="3238" t="str">
        <f t="shared" si="11"/>
        <v>内部装修</v>
      </c>
      <c r="R42" s="1569" t="s">
        <v>11</v>
      </c>
      <c r="S42" s="1570">
        <f t="shared" si="12"/>
        <v>100</v>
      </c>
      <c r="T42" s="1569" t="s">
        <v>11</v>
      </c>
      <c r="U42" s="1570">
        <f t="shared" si="13"/>
        <v>100</v>
      </c>
      <c r="V42" s="1569" t="s">
        <v>11</v>
      </c>
      <c r="W42" s="1570">
        <f t="shared" si="14"/>
        <v>100</v>
      </c>
      <c r="X42" s="3240"/>
      <c r="Y42" s="3437"/>
      <c r="Z42" s="3239" t="str">
        <f t="shared" si="15"/>
        <v>内部装修</v>
      </c>
      <c r="AA42" s="3241">
        <f t="shared" si="3"/>
        <v>1</v>
      </c>
      <c r="AB42" s="3241">
        <f t="shared" si="4"/>
        <v>1</v>
      </c>
      <c r="AC42" s="3241">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7"/>
      <c r="Q43" s="3238" t="str">
        <f t="shared" si="11"/>
        <v>内部装修维护情况</v>
      </c>
      <c r="R43" s="1569" t="s">
        <v>11</v>
      </c>
      <c r="S43" s="1570">
        <f t="shared" si="12"/>
        <v>100</v>
      </c>
      <c r="T43" s="1569" t="s">
        <v>11</v>
      </c>
      <c r="U43" s="1570">
        <f t="shared" si="13"/>
        <v>100</v>
      </c>
      <c r="V43" s="1569" t="s">
        <v>11</v>
      </c>
      <c r="W43" s="1570">
        <f t="shared" si="14"/>
        <v>100</v>
      </c>
      <c r="X43" s="3240"/>
      <c r="Y43" s="3437"/>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3237">
        <f t="shared" si="11"/>
        <v>111</v>
      </c>
      <c r="R44" s="1564" t="s">
        <v>11</v>
      </c>
      <c r="S44" s="1565">
        <f t="shared" si="12"/>
        <v>100</v>
      </c>
      <c r="T44" s="1564" t="s">
        <v>11</v>
      </c>
      <c r="U44" s="1565">
        <f t="shared" si="13"/>
        <v>100</v>
      </c>
      <c r="V44" s="1564" t="s">
        <v>11</v>
      </c>
      <c r="W44" s="1565">
        <f t="shared" si="14"/>
        <v>100</v>
      </c>
      <c r="X44" s="1566"/>
      <c r="Y44" s="3437"/>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3238">
        <f t="shared" si="11"/>
        <v>111</v>
      </c>
      <c r="R45" s="1569" t="s">
        <v>11</v>
      </c>
      <c r="S45" s="1570">
        <f t="shared" si="12"/>
        <v>100</v>
      </c>
      <c r="T45" s="1569" t="s">
        <v>11</v>
      </c>
      <c r="U45" s="1570">
        <f t="shared" si="13"/>
        <v>100</v>
      </c>
      <c r="V45" s="1569" t="s">
        <v>11</v>
      </c>
      <c r="W45" s="1570">
        <f t="shared" si="14"/>
        <v>100</v>
      </c>
      <c r="X45" s="3240"/>
      <c r="Y45" s="3437"/>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3238">
        <f t="shared" si="11"/>
        <v>111</v>
      </c>
      <c r="R46" s="1569" t="s">
        <v>10</v>
      </c>
      <c r="S46" s="1570">
        <f t="shared" si="12"/>
        <v>100</v>
      </c>
      <c r="T46" s="1569" t="s">
        <v>10</v>
      </c>
      <c r="U46" s="1570">
        <f t="shared" si="13"/>
        <v>100</v>
      </c>
      <c r="V46" s="1569" t="s">
        <v>10</v>
      </c>
      <c r="W46" s="1570">
        <f t="shared" si="14"/>
        <v>100</v>
      </c>
      <c r="X46" s="3240"/>
      <c r="Y46" s="3510"/>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32" t="str">
        <f>A48</f>
        <v>比较价格（元/平方米）</v>
      </c>
      <c r="Q48" s="3432"/>
      <c r="R48" s="3511">
        <f>IF(F1="售价",ROUND(PRODUCT(R47,AA7:AA46),0),ROUND(PRODUCT(R47,AA7:AA46),1))</f>
        <v>14418</v>
      </c>
      <c r="S48" s="3511"/>
      <c r="T48" s="3511">
        <f>IF(F1="售价",ROUND(PRODUCT(T47,AB7:AB46),0),ROUND(PRODUCT(T47,AB7:AB46),1))</f>
        <v>14575</v>
      </c>
      <c r="U48" s="3511"/>
      <c r="V48" s="3511">
        <f>IF(F1="售价",ROUND(PRODUCT(V47,AC7:AC46),0),ROUND(PRODUCT(V47,AC7:AC46),1))</f>
        <v>15743</v>
      </c>
      <c r="W48" s="3511"/>
      <c r="X48" s="1555"/>
      <c r="Y48" s="1555"/>
      <c r="Z48" s="1555"/>
      <c r="AA48" s="1555"/>
      <c r="AB48" s="1555"/>
      <c r="AC48" s="1555"/>
    </row>
    <row r="49" spans="1:29" ht="15.75" thickBot="1">
      <c r="A49" s="620" t="s">
        <v>2933</v>
      </c>
      <c r="B49" s="621"/>
      <c r="C49" s="2657">
        <f>R49</f>
        <v>14912</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14912</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3230</v>
      </c>
      <c r="D90" s="3210" t="s">
        <v>3231</v>
      </c>
      <c r="E90" s="3210" t="s">
        <v>3232</v>
      </c>
      <c r="F90" s="3210" t="s">
        <v>3233</v>
      </c>
      <c r="G90" s="3210" t="s">
        <v>3234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C41" sqref="C4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3205</v>
      </c>
      <c r="E1" s="2647"/>
      <c r="F1" s="2828" t="s">
        <v>3120</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38" t="s">
        <v>518</v>
      </c>
      <c r="D4" s="3439"/>
      <c r="E4" s="3462" t="s">
        <v>519</v>
      </c>
      <c r="F4" s="3463"/>
      <c r="G4" s="3438" t="s">
        <v>520</v>
      </c>
      <c r="H4" s="3439"/>
      <c r="I4" s="3438" t="s">
        <v>521</v>
      </c>
      <c r="J4" s="3439"/>
      <c r="K4" s="852"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508" t="s">
        <v>3204</v>
      </c>
      <c r="F5" s="3465"/>
      <c r="G5" s="3509" t="s">
        <v>3224</v>
      </c>
      <c r="H5" s="3450"/>
      <c r="I5" s="3509" t="s">
        <v>3225</v>
      </c>
      <c r="J5" s="3450"/>
      <c r="K5" s="85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85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4" t="s">
        <v>526</v>
      </c>
      <c r="Q7" s="3433"/>
      <c r="R7" s="1564" t="s">
        <v>13</v>
      </c>
      <c r="S7" s="1565">
        <f t="shared" ref="S7:S15" si="0">F7</f>
        <v>100</v>
      </c>
      <c r="T7" s="1564" t="s">
        <v>13</v>
      </c>
      <c r="U7" s="1565">
        <f t="shared" ref="U7:U15" si="1">H7</f>
        <v>100</v>
      </c>
      <c r="V7" s="1564" t="s">
        <v>13</v>
      </c>
      <c r="W7" s="1565">
        <f t="shared" ref="W7:W15" si="2">J7</f>
        <v>100</v>
      </c>
      <c r="X7" s="1566"/>
      <c r="Y7" s="3424" t="s">
        <v>526</v>
      </c>
      <c r="Z7" s="3425"/>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4" t="s">
        <v>529</v>
      </c>
      <c r="Q8" s="3425"/>
      <c r="R8" s="1564" t="s">
        <v>13</v>
      </c>
      <c r="S8" s="1565">
        <f t="shared" si="0"/>
        <v>100</v>
      </c>
      <c r="T8" s="1564" t="s">
        <v>13</v>
      </c>
      <c r="U8" s="1565">
        <f t="shared" si="1"/>
        <v>100</v>
      </c>
      <c r="V8" s="1564" t="s">
        <v>13</v>
      </c>
      <c r="W8" s="1565">
        <f t="shared" si="2"/>
        <v>100</v>
      </c>
      <c r="X8" s="1566"/>
      <c r="Y8" s="3424" t="s">
        <v>529</v>
      </c>
      <c r="Z8" s="3425"/>
      <c r="AA8" s="1567">
        <f t="shared" ref="AA8:AA46" si="3">D8/F8</f>
        <v>1</v>
      </c>
      <c r="AB8" s="1567">
        <f t="shared" ref="AB8:AB46" si="4">D8/H8</f>
        <v>1</v>
      </c>
      <c r="AC8" s="1567">
        <f t="shared" ref="AC8:AC46" si="5">D8/J8</f>
        <v>1</v>
      </c>
    </row>
    <row r="9" spans="1:29" s="1218" customFormat="1" ht="15">
      <c r="A9" s="2935"/>
      <c r="B9" s="2942" t="s">
        <v>2756</v>
      </c>
      <c r="C9" s="3234"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2"/>
      <c r="Q11" s="1149" t="str">
        <f t="shared" si="6"/>
        <v>容积率</v>
      </c>
      <c r="R11" s="1564" t="s">
        <v>11</v>
      </c>
      <c r="S11" s="1565">
        <f t="shared" si="0"/>
        <v>102</v>
      </c>
      <c r="T11" s="1564" t="s">
        <v>11</v>
      </c>
      <c r="U11" s="1565">
        <f t="shared" si="1"/>
        <v>96</v>
      </c>
      <c r="V11" s="1564" t="s">
        <v>11</v>
      </c>
      <c r="W11" s="1565">
        <f t="shared" si="2"/>
        <v>98</v>
      </c>
      <c r="X11" s="1566"/>
      <c r="Y11" s="3389"/>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2"/>
      <c r="Q12" s="1149">
        <f t="shared" si="6"/>
        <v>111</v>
      </c>
      <c r="R12" s="1564" t="s">
        <v>11</v>
      </c>
      <c r="S12" s="1565">
        <f t="shared" si="0"/>
        <v>100</v>
      </c>
      <c r="T12" s="1564" t="s">
        <v>11</v>
      </c>
      <c r="U12" s="1565">
        <f t="shared" si="1"/>
        <v>100</v>
      </c>
      <c r="V12" s="1564" t="s">
        <v>11</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2"/>
      <c r="Q13" s="1149">
        <f t="shared" si="6"/>
        <v>111</v>
      </c>
      <c r="R13" s="1564" t="s">
        <v>11</v>
      </c>
      <c r="S13" s="1565">
        <f t="shared" si="0"/>
        <v>100</v>
      </c>
      <c r="T13" s="1564" t="s">
        <v>11</v>
      </c>
      <c r="U13" s="1565">
        <f t="shared" si="1"/>
        <v>100</v>
      </c>
      <c r="V13" s="1564" t="s">
        <v>11</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2"/>
      <c r="Q14" s="1149">
        <f t="shared" si="6"/>
        <v>111</v>
      </c>
      <c r="R14" s="1564" t="s">
        <v>11</v>
      </c>
      <c r="S14" s="1565">
        <f t="shared" si="0"/>
        <v>100</v>
      </c>
      <c r="T14" s="1564" t="s">
        <v>11</v>
      </c>
      <c r="U14" s="1565">
        <f t="shared" si="1"/>
        <v>100</v>
      </c>
      <c r="V14" s="1564" t="s">
        <v>11</v>
      </c>
      <c r="W14" s="1565">
        <f t="shared" si="2"/>
        <v>100</v>
      </c>
      <c r="X14" s="1566"/>
      <c r="Y14" s="3389"/>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4" t="s">
        <v>536</v>
      </c>
      <c r="Q15" s="1568" t="str">
        <f t="shared" si="6"/>
        <v>居住社区成熟度</v>
      </c>
      <c r="R15" s="1569" t="s">
        <v>11</v>
      </c>
      <c r="S15" s="1570">
        <f t="shared" si="0"/>
        <v>100</v>
      </c>
      <c r="T15" s="1569" t="s">
        <v>11</v>
      </c>
      <c r="U15" s="1570">
        <f t="shared" si="1"/>
        <v>100</v>
      </c>
      <c r="V15" s="1569" t="s">
        <v>11</v>
      </c>
      <c r="W15" s="1570">
        <f t="shared" si="2"/>
        <v>100</v>
      </c>
      <c r="X15" s="1563"/>
      <c r="Y15" s="3434" t="s">
        <v>536</v>
      </c>
      <c r="Z15" s="1571" t="str">
        <f t="shared" si="7"/>
        <v>居住社区成熟度</v>
      </c>
      <c r="AA15" s="1572">
        <f t="shared" si="3"/>
        <v>1</v>
      </c>
      <c r="AB15" s="1572">
        <f t="shared" si="4"/>
        <v>1</v>
      </c>
      <c r="AC15" s="1572">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5"/>
      <c r="Q17" s="1568" t="str">
        <f>B17</f>
        <v>交通便捷度</v>
      </c>
      <c r="R17" s="1569" t="s">
        <v>11</v>
      </c>
      <c r="S17" s="1570">
        <f>F17</f>
        <v>100</v>
      </c>
      <c r="T17" s="1569" t="s">
        <v>11</v>
      </c>
      <c r="U17" s="1570">
        <f>H17</f>
        <v>100</v>
      </c>
      <c r="V17" s="1569" t="s">
        <v>11</v>
      </c>
      <c r="W17" s="1570">
        <f>J17</f>
        <v>100</v>
      </c>
      <c r="X17" s="1563"/>
      <c r="Y17" s="3435"/>
      <c r="Z17" s="1571" t="str">
        <f>Q17</f>
        <v>交通便捷度</v>
      </c>
      <c r="AA17" s="1572">
        <f t="shared" si="3"/>
        <v>1</v>
      </c>
      <c r="AB17" s="1572">
        <f t="shared" si="4"/>
        <v>1</v>
      </c>
      <c r="AC17" s="1572">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5"/>
      <c r="Q19" s="1568" t="str">
        <f>B19</f>
        <v>公共配套设施</v>
      </c>
      <c r="R19" s="1569" t="s">
        <v>11</v>
      </c>
      <c r="S19" s="1570">
        <f>F19</f>
        <v>100</v>
      </c>
      <c r="T19" s="1569" t="s">
        <v>11</v>
      </c>
      <c r="U19" s="1570">
        <f>H19</f>
        <v>100</v>
      </c>
      <c r="V19" s="1569" t="s">
        <v>11</v>
      </c>
      <c r="W19" s="1570">
        <f>J19</f>
        <v>100</v>
      </c>
      <c r="X19" s="1563"/>
      <c r="Y19" s="3435"/>
      <c r="Z19" s="1571" t="str">
        <f>Q19</f>
        <v>公共配套设施</v>
      </c>
      <c r="AA19" s="1572">
        <f t="shared" si="3"/>
        <v>1</v>
      </c>
      <c r="AB19" s="1572">
        <f t="shared" si="4"/>
        <v>1</v>
      </c>
      <c r="AC19" s="1572">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5"/>
      <c r="Q21" s="2600" t="str">
        <f>B21</f>
        <v>基础设施水平</v>
      </c>
      <c r="R21" s="1569" t="s">
        <v>11</v>
      </c>
      <c r="S21" s="1570">
        <f>F21</f>
        <v>100</v>
      </c>
      <c r="T21" s="1569" t="s">
        <v>11</v>
      </c>
      <c r="U21" s="1570">
        <f>H21</f>
        <v>100</v>
      </c>
      <c r="V21" s="1569" t="s">
        <v>11</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35"/>
      <c r="Q22" s="2600"/>
      <c r="R22" s="1569"/>
      <c r="S22" s="1570"/>
      <c r="T22" s="1569"/>
      <c r="U22" s="1570"/>
      <c r="V22" s="1569"/>
      <c r="W22" s="1570"/>
      <c r="X22" s="2602"/>
      <c r="Y22" s="3435"/>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5"/>
      <c r="Q23" s="1568" t="str">
        <f>B23</f>
        <v>自然及人文环境</v>
      </c>
      <c r="R23" s="1569" t="s">
        <v>11</v>
      </c>
      <c r="S23" s="1570">
        <f>F23</f>
        <v>100</v>
      </c>
      <c r="T23" s="1569" t="s">
        <v>11</v>
      </c>
      <c r="U23" s="1570">
        <f>H23</f>
        <v>100</v>
      </c>
      <c r="V23" s="1569" t="s">
        <v>11</v>
      </c>
      <c r="W23" s="1570">
        <f>J23</f>
        <v>100</v>
      </c>
      <c r="X23" s="1563"/>
      <c r="Y23" s="3435"/>
      <c r="Z23" s="1571" t="str">
        <f>Q23</f>
        <v>自然及人文环境</v>
      </c>
      <c r="AA23" s="1572">
        <f t="shared" si="3"/>
        <v>1</v>
      </c>
      <c r="AB23" s="1572">
        <f t="shared" si="4"/>
        <v>1</v>
      </c>
      <c r="AC23" s="1572">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5"/>
      <c r="Q25" s="1568" t="str">
        <f t="shared" ref="Q25:Q46" si="11">B25</f>
        <v>楼层-1</v>
      </c>
      <c r="R25" s="1569" t="s">
        <v>11</v>
      </c>
      <c r="S25" s="1570">
        <f>F25</f>
        <v>100</v>
      </c>
      <c r="T25" s="1569" t="s">
        <v>11</v>
      </c>
      <c r="U25" s="1570">
        <f>H25</f>
        <v>100</v>
      </c>
      <c r="V25" s="1569" t="s">
        <v>11</v>
      </c>
      <c r="W25" s="1570">
        <f>J25</f>
        <v>100</v>
      </c>
      <c r="X25" s="1563"/>
      <c r="Y25" s="3435"/>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5"/>
      <c r="Q26" s="1568" t="str">
        <f t="shared" si="11"/>
        <v>朝向</v>
      </c>
      <c r="R26" s="1569" t="s">
        <v>11</v>
      </c>
      <c r="S26" s="1570">
        <f>F26</f>
        <v>100</v>
      </c>
      <c r="T26" s="1569" t="s">
        <v>11</v>
      </c>
      <c r="U26" s="1570">
        <f>H26</f>
        <v>100</v>
      </c>
      <c r="V26" s="1569" t="s">
        <v>11</v>
      </c>
      <c r="W26" s="1570">
        <f>J26</f>
        <v>100</v>
      </c>
      <c r="X26" s="1563"/>
      <c r="Y26" s="3435"/>
      <c r="Z26" s="1571" t="str">
        <f>Q26</f>
        <v>朝向</v>
      </c>
      <c r="AA26" s="1572">
        <f t="shared" si="3"/>
        <v>1</v>
      </c>
      <c r="AB26" s="1572">
        <f t="shared" si="4"/>
        <v>1</v>
      </c>
      <c r="AC26" s="1572">
        <f t="shared" si="5"/>
        <v>1</v>
      </c>
    </row>
    <row r="27" spans="1:29" s="1218" customFormat="1" ht="15">
      <c r="A27" s="535"/>
      <c r="B27" s="536" t="s">
        <v>720</v>
      </c>
      <c r="C27" s="3243" t="s">
        <v>3233</v>
      </c>
      <c r="D27" s="874">
        <v>100</v>
      </c>
      <c r="E27" s="3243" t="s">
        <v>3233</v>
      </c>
      <c r="F27" s="875">
        <f>SUMIF(90:90,E27,91:91)-SUMIF(90:90,C27,91:91)+100</f>
        <v>100</v>
      </c>
      <c r="G27" s="3203" t="s">
        <v>3232</v>
      </c>
      <c r="H27" s="874">
        <f>SUMIF(90:90,G27,91:91)-SUMIF(90:90,C27,91:91)+100</f>
        <v>101</v>
      </c>
      <c r="I27" s="3243" t="s">
        <v>3233</v>
      </c>
      <c r="J27" s="874">
        <f>SUMIF(90:90,I27,91:91)-SUMIF(90:90,C27,91:91)+100</f>
        <v>100</v>
      </c>
      <c r="K27" s="864"/>
      <c r="L27" s="2132"/>
      <c r="M27" s="2133"/>
      <c r="N27" s="2133"/>
      <c r="O27" s="2134"/>
      <c r="P27" s="3435"/>
      <c r="Q27" s="1149" t="str">
        <f t="shared" si="11"/>
        <v>道路级别</v>
      </c>
      <c r="R27" s="1564" t="s">
        <v>11</v>
      </c>
      <c r="S27" s="1565">
        <f>F27</f>
        <v>100</v>
      </c>
      <c r="T27" s="1564" t="s">
        <v>11</v>
      </c>
      <c r="U27" s="1565">
        <f>H27</f>
        <v>101</v>
      </c>
      <c r="V27" s="1564" t="s">
        <v>11</v>
      </c>
      <c r="W27" s="1565">
        <f>J27</f>
        <v>100</v>
      </c>
      <c r="X27" s="1566"/>
      <c r="Y27" s="3435"/>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5"/>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5"/>
      <c r="Q29" s="1568">
        <f t="shared" si="11"/>
        <v>111</v>
      </c>
      <c r="R29" s="1569" t="s">
        <v>11</v>
      </c>
      <c r="S29" s="1570">
        <f t="shared" si="12"/>
        <v>100</v>
      </c>
      <c r="T29" s="1569" t="s">
        <v>11</v>
      </c>
      <c r="U29" s="1570">
        <f t="shared" si="13"/>
        <v>100</v>
      </c>
      <c r="V29" s="1569" t="s">
        <v>11</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5"/>
      <c r="Q30" s="1568">
        <f t="shared" si="11"/>
        <v>111</v>
      </c>
      <c r="R30" s="1569" t="s">
        <v>11</v>
      </c>
      <c r="S30" s="1570">
        <f t="shared" si="12"/>
        <v>100</v>
      </c>
      <c r="T30" s="1569" t="s">
        <v>11</v>
      </c>
      <c r="U30" s="1570">
        <f t="shared" si="13"/>
        <v>100</v>
      </c>
      <c r="V30" s="1569" t="s">
        <v>11</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5"/>
      <c r="Q31" s="1568">
        <f t="shared" si="11"/>
        <v>111</v>
      </c>
      <c r="R31" s="1569" t="s">
        <v>11</v>
      </c>
      <c r="S31" s="1570">
        <f t="shared" si="12"/>
        <v>100</v>
      </c>
      <c r="T31" s="1569" t="s">
        <v>11</v>
      </c>
      <c r="U31" s="1570">
        <f t="shared" si="13"/>
        <v>100</v>
      </c>
      <c r="V31" s="1569" t="s">
        <v>11</v>
      </c>
      <c r="W31" s="1570">
        <f t="shared" si="14"/>
        <v>100</v>
      </c>
      <c r="X31" s="1563"/>
      <c r="Y31" s="3435"/>
      <c r="Z31" s="1571">
        <f t="shared" si="15"/>
        <v>111</v>
      </c>
      <c r="AA31" s="1572">
        <f t="shared" si="3"/>
        <v>1</v>
      </c>
      <c r="AB31" s="1572">
        <f t="shared" si="4"/>
        <v>1</v>
      </c>
      <c r="AC31" s="1572">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36" t="s">
        <v>546</v>
      </c>
      <c r="Q32" s="1568" t="str">
        <f t="shared" si="11"/>
        <v>建筑类型</v>
      </c>
      <c r="R32" s="1569" t="s">
        <v>11</v>
      </c>
      <c r="S32" s="1570">
        <f t="shared" si="12"/>
        <v>100</v>
      </c>
      <c r="T32" s="1569" t="s">
        <v>11</v>
      </c>
      <c r="U32" s="1570">
        <f t="shared" si="13"/>
        <v>100</v>
      </c>
      <c r="V32" s="1569" t="s">
        <v>11</v>
      </c>
      <c r="W32" s="1570">
        <f t="shared" si="14"/>
        <v>100</v>
      </c>
      <c r="X32" s="1563"/>
      <c r="Y32" s="3437"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37"/>
      <c r="Q33" s="1601" t="str">
        <f t="shared" si="11"/>
        <v>项目建筑规模</v>
      </c>
      <c r="R33" s="1573" t="s">
        <v>11</v>
      </c>
      <c r="S33" s="1574">
        <f t="shared" si="12"/>
        <v>100</v>
      </c>
      <c r="T33" s="1573" t="s">
        <v>11</v>
      </c>
      <c r="U33" s="1574">
        <f t="shared" si="13"/>
        <v>102</v>
      </c>
      <c r="V33" s="1573" t="s">
        <v>11</v>
      </c>
      <c r="W33" s="1574">
        <f t="shared" si="14"/>
        <v>98</v>
      </c>
      <c r="X33" s="1575"/>
      <c r="Y33" s="3437"/>
      <c r="Z33" s="1576" t="str">
        <f t="shared" si="15"/>
        <v>项目建筑规模</v>
      </c>
      <c r="AA33" s="1572">
        <f t="shared" si="3"/>
        <v>1</v>
      </c>
      <c r="AB33" s="1572">
        <f t="shared" si="4"/>
        <v>0.98039215686274506</v>
      </c>
      <c r="AC33" s="1572">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37"/>
      <c r="Q34" s="1568" t="str">
        <f t="shared" si="11"/>
        <v>建筑结构</v>
      </c>
      <c r="R34" s="1569" t="s">
        <v>11</v>
      </c>
      <c r="S34" s="1570">
        <f t="shared" si="12"/>
        <v>100</v>
      </c>
      <c r="T34" s="1569" t="s">
        <v>11</v>
      </c>
      <c r="U34" s="1570">
        <f t="shared" si="13"/>
        <v>100</v>
      </c>
      <c r="V34" s="1569" t="s">
        <v>11</v>
      </c>
      <c r="W34" s="1570">
        <f t="shared" si="14"/>
        <v>100</v>
      </c>
      <c r="X34" s="1563"/>
      <c r="Y34" s="3437"/>
      <c r="Z34" s="1571" t="str">
        <f t="shared" si="15"/>
        <v>建筑结构</v>
      </c>
      <c r="AA34" s="1572">
        <f t="shared" si="3"/>
        <v>1</v>
      </c>
      <c r="AB34" s="1572">
        <f t="shared" si="4"/>
        <v>1</v>
      </c>
      <c r="AC34" s="1572">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37"/>
      <c r="Q35" s="1568" t="str">
        <f t="shared" si="11"/>
        <v>建筑品质</v>
      </c>
      <c r="R35" s="1569" t="s">
        <v>11</v>
      </c>
      <c r="S35" s="1570">
        <f t="shared" si="12"/>
        <v>100</v>
      </c>
      <c r="T35" s="1569" t="s">
        <v>11</v>
      </c>
      <c r="U35" s="1570">
        <f t="shared" si="13"/>
        <v>100</v>
      </c>
      <c r="V35" s="1569" t="s">
        <v>11</v>
      </c>
      <c r="W35" s="1570">
        <f t="shared" si="14"/>
        <v>100</v>
      </c>
      <c r="X35" s="1563"/>
      <c r="Y35" s="3437"/>
      <c r="Z35" s="1571" t="str">
        <f t="shared" si="15"/>
        <v>建筑品质</v>
      </c>
      <c r="AA35" s="1572">
        <f t="shared" si="3"/>
        <v>1</v>
      </c>
      <c r="AB35" s="1572">
        <f t="shared" si="4"/>
        <v>1</v>
      </c>
      <c r="AC35" s="1572">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37"/>
      <c r="Q36" s="1568" t="str">
        <f t="shared" si="11"/>
        <v>公共部分装修</v>
      </c>
      <c r="R36" s="1569" t="s">
        <v>11</v>
      </c>
      <c r="S36" s="1570">
        <f t="shared" si="12"/>
        <v>100</v>
      </c>
      <c r="T36" s="1569" t="s">
        <v>11</v>
      </c>
      <c r="U36" s="1570">
        <f t="shared" si="13"/>
        <v>100</v>
      </c>
      <c r="V36" s="1569" t="s">
        <v>11</v>
      </c>
      <c r="W36" s="1570">
        <f t="shared" si="14"/>
        <v>100</v>
      </c>
      <c r="X36" s="1563"/>
      <c r="Y36" s="3437"/>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37"/>
      <c r="Q37" s="1149" t="str">
        <f t="shared" si="11"/>
        <v>成新度</v>
      </c>
      <c r="R37" s="1564" t="s">
        <v>11</v>
      </c>
      <c r="S37" s="1565">
        <f t="shared" si="12"/>
        <v>100</v>
      </c>
      <c r="T37" s="1564" t="s">
        <v>11</v>
      </c>
      <c r="U37" s="1565">
        <f t="shared" si="13"/>
        <v>100</v>
      </c>
      <c r="V37" s="1564" t="s">
        <v>11</v>
      </c>
      <c r="W37" s="1565">
        <f t="shared" si="14"/>
        <v>99</v>
      </c>
      <c r="X37" s="1566"/>
      <c r="Y37" s="3437"/>
      <c r="Z37" s="1148"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37" t="s">
        <v>546</v>
      </c>
      <c r="Q38" s="1568" t="str">
        <f t="shared" si="11"/>
        <v>物业管理</v>
      </c>
      <c r="R38" s="1569" t="s">
        <v>11</v>
      </c>
      <c r="S38" s="1570">
        <f t="shared" si="12"/>
        <v>100</v>
      </c>
      <c r="T38" s="1569" t="s">
        <v>11</v>
      </c>
      <c r="U38" s="1570">
        <f t="shared" si="13"/>
        <v>100</v>
      </c>
      <c r="V38" s="1569" t="s">
        <v>11</v>
      </c>
      <c r="W38" s="1570">
        <f t="shared" si="14"/>
        <v>100</v>
      </c>
      <c r="X38" s="1563"/>
      <c r="Y38" s="3437" t="s">
        <v>546</v>
      </c>
      <c r="Z38" s="1571" t="str">
        <f t="shared" si="15"/>
        <v>物业管理</v>
      </c>
      <c r="AA38" s="1572">
        <f t="shared" si="3"/>
        <v>1</v>
      </c>
      <c r="AB38" s="1572">
        <f t="shared" si="4"/>
        <v>1</v>
      </c>
      <c r="AC38" s="1572">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37"/>
      <c r="Q39" s="1568" t="str">
        <f t="shared" si="11"/>
        <v>市政基础设施</v>
      </c>
      <c r="R39" s="1569" t="s">
        <v>11</v>
      </c>
      <c r="S39" s="1570">
        <f t="shared" si="12"/>
        <v>100</v>
      </c>
      <c r="T39" s="1569" t="s">
        <v>11</v>
      </c>
      <c r="U39" s="1570">
        <f t="shared" si="13"/>
        <v>100</v>
      </c>
      <c r="V39" s="1569" t="s">
        <v>11</v>
      </c>
      <c r="W39" s="1570">
        <f t="shared" si="14"/>
        <v>100</v>
      </c>
      <c r="X39" s="1563"/>
      <c r="Y39" s="3437"/>
      <c r="Z39" s="1571" t="str">
        <f t="shared" si="15"/>
        <v>市政基础设施</v>
      </c>
      <c r="AA39" s="1572">
        <f t="shared" si="3"/>
        <v>1</v>
      </c>
      <c r="AB39" s="1572">
        <f t="shared" si="4"/>
        <v>1</v>
      </c>
      <c r="AC39" s="1572">
        <f t="shared" si="5"/>
        <v>1</v>
      </c>
    </row>
    <row r="40" spans="1:29" ht="15">
      <c r="A40" s="593"/>
      <c r="B40" s="526" t="s">
        <v>728</v>
      </c>
      <c r="C40" s="598" t="s">
        <v>3226</v>
      </c>
      <c r="D40" s="539">
        <v>100</v>
      </c>
      <c r="E40" s="598" t="s">
        <v>3226</v>
      </c>
      <c r="F40" s="574">
        <f>SUMIF(118:118,E40,119:119)-SUMIF(118:118,C40,119:119)+100</f>
        <v>100</v>
      </c>
      <c r="G40" s="598" t="s">
        <v>3226</v>
      </c>
      <c r="H40" s="539">
        <f>SUMIF(118:118,G40,119:119)-SUMIF(118:118,C40,119:119)+100</f>
        <v>100</v>
      </c>
      <c r="I40" s="598" t="s">
        <v>3226</v>
      </c>
      <c r="J40" s="539">
        <f>SUMIF(118:118,I40,119:119)-SUMIF(118:118,C40,119:119)+100</f>
        <v>100</v>
      </c>
      <c r="K40" s="863">
        <v>15</v>
      </c>
      <c r="L40" s="2139"/>
      <c r="M40" s="2131"/>
      <c r="N40" s="2131"/>
      <c r="O40" s="2138"/>
      <c r="P40" s="3437"/>
      <c r="Q40" s="1568" t="str">
        <f t="shared" si="11"/>
        <v>房型</v>
      </c>
      <c r="R40" s="1569" t="s">
        <v>11</v>
      </c>
      <c r="S40" s="1570">
        <f t="shared" si="12"/>
        <v>100</v>
      </c>
      <c r="T40" s="1569" t="s">
        <v>11</v>
      </c>
      <c r="U40" s="1570">
        <f t="shared" si="13"/>
        <v>100</v>
      </c>
      <c r="V40" s="1569" t="s">
        <v>11</v>
      </c>
      <c r="W40" s="1570">
        <f t="shared" si="14"/>
        <v>100</v>
      </c>
      <c r="X40" s="1563"/>
      <c r="Y40" s="3437"/>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37"/>
      <c r="Q41" s="1601" t="str">
        <f t="shared" si="11"/>
        <v>单套/主力户型建筑面积</v>
      </c>
      <c r="R41" s="1573" t="s">
        <v>11</v>
      </c>
      <c r="S41" s="1574">
        <f t="shared" si="12"/>
        <v>100</v>
      </c>
      <c r="T41" s="1573" t="s">
        <v>11</v>
      </c>
      <c r="U41" s="1574">
        <f t="shared" si="13"/>
        <v>100</v>
      </c>
      <c r="V41" s="1573" t="s">
        <v>11</v>
      </c>
      <c r="W41" s="1574">
        <f t="shared" si="14"/>
        <v>100</v>
      </c>
      <c r="X41" s="1575"/>
      <c r="Y41" s="3437"/>
      <c r="Z41" s="1576" t="str">
        <f t="shared" si="15"/>
        <v>单套/主力户型建筑面积</v>
      </c>
      <c r="AA41" s="1572">
        <f t="shared" si="3"/>
        <v>1</v>
      </c>
      <c r="AB41" s="1572">
        <f t="shared" si="4"/>
        <v>1</v>
      </c>
      <c r="AC41" s="1572">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37"/>
      <c r="Q42" s="1568" t="str">
        <f t="shared" si="11"/>
        <v>内部装修</v>
      </c>
      <c r="R42" s="1569" t="s">
        <v>11</v>
      </c>
      <c r="S42" s="1570">
        <f t="shared" si="12"/>
        <v>100</v>
      </c>
      <c r="T42" s="1569" t="s">
        <v>11</v>
      </c>
      <c r="U42" s="1570">
        <f t="shared" si="13"/>
        <v>100</v>
      </c>
      <c r="V42" s="1569" t="s">
        <v>11</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37"/>
      <c r="Q43" s="1568" t="str">
        <f t="shared" si="11"/>
        <v>内部装修维护情况</v>
      </c>
      <c r="R43" s="1569" t="s">
        <v>11</v>
      </c>
      <c r="S43" s="1570">
        <f t="shared" si="12"/>
        <v>100</v>
      </c>
      <c r="T43" s="1569" t="s">
        <v>11</v>
      </c>
      <c r="U43" s="1570">
        <f t="shared" si="13"/>
        <v>100</v>
      </c>
      <c r="V43" s="1569" t="s">
        <v>11</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37"/>
      <c r="Q44" s="1149">
        <f t="shared" si="11"/>
        <v>111</v>
      </c>
      <c r="R44" s="1564" t="s">
        <v>11</v>
      </c>
      <c r="S44" s="1565">
        <f t="shared" si="12"/>
        <v>100</v>
      </c>
      <c r="T44" s="1564" t="s">
        <v>11</v>
      </c>
      <c r="U44" s="1565">
        <f t="shared" si="13"/>
        <v>100</v>
      </c>
      <c r="V44" s="1564" t="s">
        <v>11</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37"/>
      <c r="Q45" s="1568">
        <f t="shared" si="11"/>
        <v>111</v>
      </c>
      <c r="R45" s="1569" t="s">
        <v>11</v>
      </c>
      <c r="S45" s="1570">
        <f t="shared" si="12"/>
        <v>100</v>
      </c>
      <c r="T45" s="1569" t="s">
        <v>11</v>
      </c>
      <c r="U45" s="1570">
        <f t="shared" si="13"/>
        <v>100</v>
      </c>
      <c r="V45" s="1569" t="s">
        <v>11</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0"/>
      <c r="Q46" s="1568">
        <f t="shared" si="11"/>
        <v>111</v>
      </c>
      <c r="R46" s="1569" t="s">
        <v>10</v>
      </c>
      <c r="S46" s="1570">
        <f t="shared" si="12"/>
        <v>100</v>
      </c>
      <c r="T46" s="1569" t="s">
        <v>10</v>
      </c>
      <c r="U46" s="1570">
        <f t="shared" si="13"/>
        <v>100</v>
      </c>
      <c r="V46" s="1569" t="s">
        <v>10</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2" t="str">
        <f>A47</f>
        <v>成交单价（元/平方米）</v>
      </c>
      <c r="Q47" s="3432"/>
      <c r="R47" s="3511">
        <f>E47</f>
        <v>12500</v>
      </c>
      <c r="S47" s="3511"/>
      <c r="T47" s="3511">
        <f>G47</f>
        <v>12252</v>
      </c>
      <c r="U47" s="3511"/>
      <c r="V47" s="3511">
        <f>I47</f>
        <v>12723</v>
      </c>
      <c r="W47" s="3511"/>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32" t="str">
        <f>A48</f>
        <v>比较价格（元/平方米）</v>
      </c>
      <c r="Q48" s="3432"/>
      <c r="R48" s="3511">
        <f>IF(F1="售价",ROUND(PRODUCT(R47,AA7:AA46),0),ROUND(PRODUCT(R47,AA7:AA46),1))</f>
        <v>12255</v>
      </c>
      <c r="S48" s="3511"/>
      <c r="T48" s="3511">
        <f>IF(F1="售价",ROUND(PRODUCT(T47,AB7:AB46),0),ROUND(PRODUCT(T47,AB7:AB46),1))</f>
        <v>12388</v>
      </c>
      <c r="U48" s="3511"/>
      <c r="V48" s="3511">
        <f>IF(F1="售价",ROUND(PRODUCT(V47,AC7:AC46),0),ROUND(PRODUCT(V47,AC7:AC46),1))</f>
        <v>13381</v>
      </c>
      <c r="W48" s="3511"/>
      <c r="X48" s="1555"/>
      <c r="Y48" s="1555"/>
      <c r="Z48" s="1555"/>
      <c r="AA48" s="1555"/>
      <c r="AB48" s="1555"/>
      <c r="AC48" s="1555"/>
    </row>
    <row r="49" spans="1:29" ht="15.75" thickBot="1">
      <c r="A49" s="620" t="s">
        <v>2933</v>
      </c>
      <c r="B49" s="621"/>
      <c r="C49" s="2657">
        <f>R49</f>
        <v>12675</v>
      </c>
      <c r="D49" s="2657"/>
      <c r="E49" s="2657"/>
      <c r="F49" s="2657"/>
      <c r="G49" s="2657"/>
      <c r="H49" s="2657"/>
      <c r="I49" s="2657"/>
      <c r="J49" s="2657"/>
      <c r="K49" s="1604"/>
      <c r="L49" s="2141"/>
      <c r="M49" s="2142"/>
      <c r="N49" s="2142"/>
      <c r="O49" s="2142"/>
      <c r="P49" s="3453" t="str">
        <f>A49</f>
        <v>估价对象XX用房的比较价格（楼面单价，元/平方米）</v>
      </c>
      <c r="Q49" s="3454"/>
      <c r="R49" s="3512">
        <f>IF(F1="售价",ROUND(AVERAGE(R48:V48),0),ROUND(AVERAGE(R48:V48),1))</f>
        <v>12675</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3236</v>
      </c>
      <c r="D90" s="3210" t="s">
        <v>3237</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3171</v>
      </c>
      <c r="D1" s="3147" t="s">
        <v>3076</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11076</v>
      </c>
      <c r="C2" s="2054"/>
      <c r="D2" s="2052"/>
      <c r="E2" s="2053"/>
      <c r="F2" s="2053"/>
      <c r="G2" s="1586"/>
      <c r="H2" s="2054"/>
      <c r="I2" s="2054"/>
      <c r="J2" s="2054"/>
      <c r="K2" s="2055"/>
      <c r="L2" s="2054"/>
      <c r="M2" s="2054"/>
    </row>
    <row r="3" spans="1:33" ht="18" customHeight="1" thickBot="1">
      <c r="A3" s="832" t="s">
        <v>1724</v>
      </c>
      <c r="B3" s="833">
        <f ca="1">IF(ISERROR(B2*10000/F43),0,ROUND(B2*10000/F43,0))</f>
        <v>16947</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751</v>
      </c>
      <c r="D6" s="2518" t="s">
        <v>2462</v>
      </c>
      <c r="E6" s="783" t="s">
        <v>1735</v>
      </c>
      <c r="F6" s="784">
        <f ca="1">INDIRECT("'数据-取费表'!u"&amp;$G$1)</f>
        <v>3.5</v>
      </c>
      <c r="G6" s="1588"/>
      <c r="H6" s="2525" t="s">
        <v>2468</v>
      </c>
      <c r="I6" s="3492" t="s">
        <v>2463</v>
      </c>
      <c r="J6" s="782">
        <f ca="1">ROUND(M6*M8*M7*(1-M9)/10000,0)</f>
        <v>0</v>
      </c>
      <c r="K6" s="340" t="s">
        <v>1734</v>
      </c>
      <c r="L6" s="783" t="s">
        <v>1735</v>
      </c>
      <c r="M6" s="784">
        <f ca="1">INDIRECT("'数据-取费表'!z"&amp;$G$1)</f>
        <v>0</v>
      </c>
    </row>
    <row r="7" spans="1:33" ht="18" customHeight="1">
      <c r="A7" s="2521"/>
      <c r="B7" s="3493"/>
      <c r="C7" s="787"/>
      <c r="D7" s="788"/>
      <c r="E7" s="783" t="s">
        <v>1736</v>
      </c>
      <c r="F7" s="784">
        <f ca="1">IF(INDIRECT("'数据-取费表'!ah"&amp;$G$1)="",INDIRECT("'数据-取费表'!k"&amp;$G$1),INDIRECT("'数据-取费表'!ah"&amp;$G$1))</f>
        <v>6535.8</v>
      </c>
      <c r="G7" s="1588"/>
      <c r="H7" s="2510"/>
      <c r="I7" s="3493"/>
      <c r="J7" s="787"/>
      <c r="K7" s="788"/>
      <c r="L7" s="783" t="s">
        <v>1736</v>
      </c>
      <c r="M7" s="784">
        <f ca="1">F7</f>
        <v>6535.8</v>
      </c>
    </row>
    <row r="8" spans="1:33" ht="18" customHeight="1">
      <c r="A8" s="2514"/>
      <c r="B8" s="3494"/>
      <c r="C8" s="787"/>
      <c r="D8" s="788"/>
      <c r="E8" s="783" t="s">
        <v>1737</v>
      </c>
      <c r="F8" s="784">
        <f ca="1">INDIRECT("'数据-取费表'!ai"&amp;$G$1)</f>
        <v>365</v>
      </c>
      <c r="G8" s="1588"/>
      <c r="H8" s="2510"/>
      <c r="I8" s="3494"/>
      <c r="J8" s="787"/>
      <c r="K8" s="788"/>
      <c r="L8" s="783" t="s">
        <v>1737</v>
      </c>
      <c r="M8" s="784">
        <f ca="1">INDIRECT("'数据-取费表'!ai"&amp;$G$1)</f>
        <v>365</v>
      </c>
    </row>
    <row r="9" spans="1:33" ht="18" customHeight="1">
      <c r="A9" s="785"/>
      <c r="B9" s="3495"/>
      <c r="C9" s="787"/>
      <c r="D9" s="788"/>
      <c r="E9" s="783" t="s">
        <v>1738</v>
      </c>
      <c r="F9" s="793">
        <f ca="1">INDIRECT("'数据-取费表'!w"&amp;$G$1)</f>
        <v>0.1</v>
      </c>
      <c r="G9" s="1588"/>
      <c r="H9" s="2526"/>
      <c r="I9" s="3494"/>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2975</v>
      </c>
      <c r="E10" s="2519" t="s">
        <v>2464</v>
      </c>
      <c r="F10" s="2642" t="s">
        <v>3077</v>
      </c>
      <c r="G10" s="1588"/>
      <c r="H10" s="2582" t="s">
        <v>2469</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3041</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3041</v>
      </c>
      <c r="K14" s="26"/>
      <c r="L14" s="800"/>
      <c r="M14" s="801"/>
    </row>
    <row r="15" spans="1:33" s="2061" customFormat="1" ht="18" customHeight="1" thickBot="1">
      <c r="A15" s="1644" t="s">
        <v>1882</v>
      </c>
      <c r="B15" s="783" t="s">
        <v>643</v>
      </c>
      <c r="C15" s="53">
        <f ca="1">ROUND(C14*F15,0)</f>
        <v>60</v>
      </c>
      <c r="D15" s="805" t="s">
        <v>1743</v>
      </c>
      <c r="E15" s="805" t="s">
        <v>1744</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302</v>
      </c>
      <c r="K16" s="1818" t="s">
        <v>1747</v>
      </c>
      <c r="L16" s="2507"/>
      <c r="M16" s="2512"/>
    </row>
    <row r="17" spans="1:33" s="2061" customFormat="1" ht="18" customHeight="1">
      <c r="A17" s="1644" t="s">
        <v>1884</v>
      </c>
      <c r="B17" s="783" t="s">
        <v>649</v>
      </c>
      <c r="C17" s="53">
        <f ca="1">ROUND(F17*(F43+INDIRECT("'数据-取费表'!S"&amp;$G$1))/10000,0)</f>
        <v>120</v>
      </c>
      <c r="D17" s="783" t="s">
        <v>1748</v>
      </c>
      <c r="E17" s="783" t="s">
        <v>1749</v>
      </c>
      <c r="F17" s="56">
        <f>'数据-取费表'!B35</f>
        <v>180</v>
      </c>
      <c r="G17" s="1589"/>
      <c r="H17" s="1645" t="s">
        <v>1827</v>
      </c>
      <c r="I17" s="783" t="s">
        <v>652</v>
      </c>
      <c r="J17" s="53">
        <f ca="1">ROUND(IF(项目基本情况!B11="自然人",J5*M17,J18+J19+J20),0)</f>
        <v>256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2203</v>
      </c>
      <c r="D19" s="260" t="s">
        <v>1754</v>
      </c>
      <c r="E19" s="1979"/>
      <c r="F19" s="56"/>
      <c r="G19" s="1588"/>
      <c r="H19" s="1644" t="s">
        <v>1882</v>
      </c>
      <c r="I19" s="783" t="s">
        <v>1755</v>
      </c>
      <c r="J19" s="53">
        <f ca="1">IF(K19="按租金收入计税",ROUND(J5*M19,1),ROUND(C29*F33*0.7,1))</f>
        <v>255.4</v>
      </c>
      <c r="K19" s="810" t="s">
        <v>661</v>
      </c>
      <c r="L19" s="783" t="s">
        <v>1744</v>
      </c>
      <c r="M19" s="808">
        <f>IF(K19="按租金收入计税",'数据-取费表'!B51,'数据-取费表'!B50)</f>
        <v>1.2E-2</v>
      </c>
    </row>
    <row r="20" spans="1:33" s="2061" customFormat="1" ht="18" customHeight="1">
      <c r="A20" s="1645" t="s">
        <v>1886</v>
      </c>
      <c r="B20" s="783" t="s">
        <v>662</v>
      </c>
      <c r="C20" s="53">
        <f ca="1">ROUND(C19*F20,0)</f>
        <v>44</v>
      </c>
      <c r="D20" s="811" t="s">
        <v>1756</v>
      </c>
      <c r="E20" s="783" t="s">
        <v>1744</v>
      </c>
      <c r="F20" s="808">
        <f>'数据-取费表'!B37</f>
        <v>0.02</v>
      </c>
      <c r="G20" s="1589"/>
      <c r="H20" s="1647" t="s">
        <v>1877</v>
      </c>
      <c r="I20" s="340" t="s">
        <v>1757</v>
      </c>
      <c r="J20" s="54">
        <f ca="1">ROUND(M20*M21/10000,0)</f>
        <v>1</v>
      </c>
      <c r="K20" s="813" t="s">
        <v>1758</v>
      </c>
      <c r="L20" s="783" t="s">
        <v>1759</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0.02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46</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107</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-302</v>
      </c>
      <c r="K25" s="2569" t="s">
        <v>1774</v>
      </c>
      <c r="L25" s="2570"/>
      <c r="M25" s="2571"/>
    </row>
    <row r="26" spans="1:33" ht="18" customHeight="1">
      <c r="A26" s="1644" t="s">
        <v>1828</v>
      </c>
      <c r="B26" s="783" t="s">
        <v>2438</v>
      </c>
      <c r="C26" s="53">
        <f ca="1">ROUND((C19+C20)*F26,0)</f>
        <v>449</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4.0000000000000001E-3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3041</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197</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131.30000000000001</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3118</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v>
      </c>
      <c r="D34" s="813" t="s">
        <v>1796</v>
      </c>
      <c r="E34" s="783" t="s">
        <v>1797</v>
      </c>
      <c r="F34" s="639">
        <f>'数据-取费表'!B52</f>
        <v>5</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243</v>
      </c>
      <c r="K35" s="2075"/>
      <c r="L35" s="2074"/>
      <c r="M35" s="2074"/>
    </row>
    <row r="36" spans="1:18" ht="18" customHeight="1">
      <c r="A36" s="1645" t="s">
        <v>1886</v>
      </c>
      <c r="B36" s="783" t="s">
        <v>1799</v>
      </c>
      <c r="C36" s="53">
        <f ca="1">ROUND(C29*F36,1)</f>
        <v>45.6</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555</v>
      </c>
      <c r="D39" s="2569" t="s">
        <v>1803</v>
      </c>
      <c r="E39" s="2570"/>
      <c r="F39" s="2571"/>
      <c r="G39" s="2059"/>
      <c r="H39" s="2074"/>
      <c r="I39" s="836" t="s">
        <v>1815</v>
      </c>
      <c r="J39" s="844">
        <f ca="1">ROUND(J35/C39,3)</f>
        <v>0.438</v>
      </c>
      <c r="K39" s="2080"/>
      <c r="L39" s="2074"/>
      <c r="M39" s="2074"/>
    </row>
    <row r="40" spans="1:18" ht="18" customHeight="1">
      <c r="A40" s="780" t="s">
        <v>1892</v>
      </c>
      <c r="B40" s="2229" t="s">
        <v>2300</v>
      </c>
      <c r="C40" s="782">
        <f ca="1">ROUND(C39*(1-((1+F42)/(1+F40))^F41)/(F40-F42),0)</f>
        <v>11076</v>
      </c>
      <c r="D40" s="813" t="s">
        <v>1804</v>
      </c>
      <c r="E40" s="783" t="s">
        <v>2419</v>
      </c>
      <c r="F40" s="793">
        <f ca="1">INDIRECT("'数据-取费表'!I"&amp;$G$1)</f>
        <v>0.06</v>
      </c>
      <c r="G40" s="2059"/>
      <c r="H40" s="2059"/>
      <c r="I40" s="836" t="s">
        <v>1816</v>
      </c>
      <c r="J40" s="844">
        <f ca="1">1-J39</f>
        <v>0.56200000000000006</v>
      </c>
      <c r="K40" s="2080"/>
      <c r="L40" s="2059"/>
      <c r="M40" s="2059"/>
    </row>
    <row r="41" spans="1:18" ht="18" customHeight="1">
      <c r="A41" s="785"/>
      <c r="B41" s="786"/>
      <c r="C41" s="787"/>
      <c r="D41" s="820" t="s">
        <v>1805</v>
      </c>
      <c r="E41" s="783" t="s">
        <v>2965</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0.27500000000000002</v>
      </c>
      <c r="K42" s="2079"/>
      <c r="L42" s="1985"/>
      <c r="M42" s="1985"/>
    </row>
    <row r="43" spans="1:18" ht="18" customHeight="1" thickBot="1">
      <c r="A43" s="822" t="s">
        <v>1784</v>
      </c>
      <c r="B43" s="823" t="s">
        <v>1807</v>
      </c>
      <c r="C43" s="824">
        <f ca="1">ROUND(C40*10000/F43,0)</f>
        <v>16947</v>
      </c>
      <c r="D43" s="825" t="s">
        <v>1808</v>
      </c>
      <c r="E43" s="826" t="s">
        <v>1809</v>
      </c>
      <c r="F43" s="827">
        <f ca="1">INDIRECT("'数据-取费表'!k"&amp;$G$1)</f>
        <v>6535.8</v>
      </c>
      <c r="G43" s="2059"/>
      <c r="H43" s="1985"/>
      <c r="I43" s="846" t="s">
        <v>1819</v>
      </c>
      <c r="J43" s="847">
        <f ca="1">1-J42</f>
        <v>0.72499999999999998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-11820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11076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3041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5244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2976</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11076</v>
      </c>
      <c r="R54" s="2424" t="s">
        <v>2392</v>
      </c>
    </row>
    <row r="55" spans="1:18" s="2056" customFormat="1" ht="18" customHeight="1" thickTop="1" thickBot="1">
      <c r="A55" s="796">
        <v>2</v>
      </c>
      <c r="B55" s="797" t="s">
        <v>640</v>
      </c>
      <c r="C55" s="798">
        <f ca="1">C13</f>
        <v>3041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3041</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51</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11076</v>
      </c>
      <c r="R57" s="2420" t="s">
        <v>2380</v>
      </c>
    </row>
    <row r="58" spans="1:18" s="2056" customFormat="1" ht="28.5" customHeight="1" thickBot="1">
      <c r="A58" s="1645" t="s">
        <v>1821</v>
      </c>
      <c r="B58" s="783" t="s">
        <v>652</v>
      </c>
      <c r="C58" s="53">
        <f ca="1">ROUND(IF(项目基本情况!B11="自然人",C47*F58,C59+C60+C61),1)</f>
        <v>1</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45.6</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11076</v>
      </c>
      <c r="R63" s="2424" t="s">
        <v>2392</v>
      </c>
    </row>
    <row r="64" spans="1:18" s="2056" customFormat="1" ht="16.5" thickBot="1">
      <c r="A64" s="1645" t="s">
        <v>1887</v>
      </c>
      <c r="B64" s="783" t="s">
        <v>675</v>
      </c>
      <c r="C64" s="53">
        <f ca="1">ROUND(C55*F64,1)</f>
        <v>4.5999999999999996</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-51</v>
      </c>
      <c r="D66" s="2659" t="s">
        <v>696</v>
      </c>
      <c r="E66" s="2658"/>
      <c r="F66" s="819"/>
      <c r="K66" s="2083"/>
      <c r="O66" s="2419" t="s">
        <v>2379</v>
      </c>
      <c r="P66" s="2420" t="s">
        <v>2409</v>
      </c>
      <c r="Q66" s="2421">
        <f ca="1">C40+J29</f>
        <v>11076</v>
      </c>
      <c r="R66" s="2420" t="s">
        <v>2380</v>
      </c>
    </row>
    <row r="67" spans="1:18" s="2056" customFormat="1" ht="20.25" thickBot="1">
      <c r="A67" s="780" t="s">
        <v>1777</v>
      </c>
      <c r="B67" s="2229" t="s">
        <v>2300</v>
      </c>
      <c r="C67" s="782">
        <f ca="1">ROUND(C66*(1-((1+F69)/(1+F67))^F68)/(F67-F69),0)</f>
        <v>-744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5244</v>
      </c>
      <c r="R68" s="2427" t="s">
        <v>2416</v>
      </c>
    </row>
    <row r="69" spans="1:18" ht="20.25" thickBot="1">
      <c r="A69" s="789"/>
      <c r="B69" s="790"/>
      <c r="C69" s="791"/>
      <c r="D69" s="815"/>
      <c r="E69" s="783" t="s">
        <v>706</v>
      </c>
      <c r="F69" s="2368"/>
      <c r="O69" s="2422" t="s">
        <v>2384</v>
      </c>
      <c r="P69" s="2428" t="s">
        <v>2398</v>
      </c>
      <c r="Q69" s="2421">
        <f ca="1">ROUND(Q70-Q71*Q72,0)</f>
        <v>312</v>
      </c>
      <c r="R69" s="2424"/>
    </row>
    <row r="70" spans="1:18" ht="15.75" thickBot="1">
      <c r="A70" s="822" t="s">
        <v>1784</v>
      </c>
      <c r="B70" s="823" t="s">
        <v>1807</v>
      </c>
      <c r="C70" s="824">
        <f ca="1">ROUND(C67*10000/F70,0)</f>
        <v>-1138</v>
      </c>
      <c r="D70" s="825" t="s">
        <v>1808</v>
      </c>
      <c r="E70" s="826" t="s">
        <v>1809</v>
      </c>
      <c r="F70" s="827">
        <f ca="1">F43</f>
        <v>6535.8</v>
      </c>
      <c r="O70" s="2422" t="s">
        <v>2399</v>
      </c>
      <c r="P70" s="2428" t="s">
        <v>2400</v>
      </c>
      <c r="Q70" s="2421">
        <f ca="1">C39</f>
        <v>555</v>
      </c>
      <c r="R70" s="2420" t="s">
        <v>2380</v>
      </c>
    </row>
    <row r="71" spans="1:18" ht="15.75" thickBot="1">
      <c r="O71" s="2422" t="s">
        <v>2401</v>
      </c>
      <c r="P71" s="2428" t="s">
        <v>2402</v>
      </c>
      <c r="Q71" s="2421">
        <f ca="1">C13</f>
        <v>3041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11076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Normal="10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20855</v>
      </c>
      <c r="C2" s="2054"/>
      <c r="D2" s="2052"/>
      <c r="E2" s="2053"/>
      <c r="F2" s="2053"/>
      <c r="G2" s="1586"/>
      <c r="H2" s="2054"/>
      <c r="I2" s="2054"/>
      <c r="J2" s="2054"/>
      <c r="K2" s="2055"/>
      <c r="L2" s="2054"/>
      <c r="M2" s="2054"/>
    </row>
    <row r="3" spans="1:33" ht="18" customHeight="1" thickBot="1">
      <c r="A3" s="832" t="s">
        <v>515</v>
      </c>
      <c r="B3" s="833">
        <f ca="1">IF(ISERROR(B2*10000/F43),0,ROUND(B2*10000/F43,0))</f>
        <v>15387</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1425</v>
      </c>
      <c r="D6" s="2518" t="s">
        <v>2462</v>
      </c>
      <c r="E6" s="783" t="s">
        <v>1735</v>
      </c>
      <c r="F6" s="784">
        <f ca="1">INDIRECT("'数据-取费表'!u"&amp;$G$1)</f>
        <v>3.2</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13553.91</v>
      </c>
      <c r="G7" s="1588"/>
      <c r="H7" s="2510"/>
      <c r="I7" s="3493"/>
      <c r="J7" s="787"/>
      <c r="K7" s="788"/>
      <c r="L7" s="783" t="s">
        <v>634</v>
      </c>
      <c r="M7" s="784">
        <f ca="1">F7</f>
        <v>13553.91</v>
      </c>
    </row>
    <row r="8" spans="1:33" ht="18" customHeight="1">
      <c r="A8" s="2514"/>
      <c r="B8" s="3494"/>
      <c r="C8" s="787"/>
      <c r="D8" s="788"/>
      <c r="E8" s="783" t="s">
        <v>635</v>
      </c>
      <c r="F8" s="784">
        <f ca="1">INDIRECT("'数据-取费表'!ai"&amp;$G$1)</f>
        <v>365</v>
      </c>
      <c r="G8" s="1588"/>
      <c r="H8" s="2510"/>
      <c r="I8" s="3494"/>
      <c r="J8" s="787"/>
      <c r="K8" s="788"/>
      <c r="L8" s="783" t="s">
        <v>635</v>
      </c>
      <c r="M8" s="784">
        <f ca="1">INDIRECT("'数据-取费表'!ai"&amp;$G$1)</f>
        <v>365</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6305</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6305</v>
      </c>
      <c r="K14" s="26"/>
      <c r="L14" s="800"/>
      <c r="M14" s="801"/>
    </row>
    <row r="15" spans="1:33" s="2061" customFormat="1" ht="18" customHeight="1" thickBot="1">
      <c r="A15" s="1644" t="s">
        <v>1829</v>
      </c>
      <c r="B15" s="783" t="s">
        <v>643</v>
      </c>
      <c r="C15" s="53">
        <f ca="1">ROUND(C14*F15,0)</f>
        <v>124</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627</v>
      </c>
      <c r="K16" s="1818" t="s">
        <v>648</v>
      </c>
      <c r="L16" s="3176"/>
      <c r="M16" s="2512"/>
    </row>
    <row r="17" spans="1:33" s="2061" customFormat="1" ht="18" customHeight="1">
      <c r="A17" s="1644" t="s">
        <v>1884</v>
      </c>
      <c r="B17" s="783" t="s">
        <v>649</v>
      </c>
      <c r="C17" s="53">
        <f ca="1">ROUND(F17*(F43+INDIRECT("'数据-取费表'!S"&amp;$G$1))/10000,0)</f>
        <v>249</v>
      </c>
      <c r="D17" s="783" t="s">
        <v>650</v>
      </c>
      <c r="E17" s="783" t="s">
        <v>651</v>
      </c>
      <c r="F17" s="56">
        <f>'数据-取费表'!B35</f>
        <v>180</v>
      </c>
      <c r="G17" s="1589"/>
      <c r="H17" s="1645" t="s">
        <v>1821</v>
      </c>
      <c r="I17" s="783" t="s">
        <v>652</v>
      </c>
      <c r="J17" s="53">
        <f ca="1">ROUND(IF(项目基本情况!B11="自然人",J5*M17,J18+J19+J20),0)</f>
        <v>532</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4567</v>
      </c>
      <c r="D19" s="260" t="s">
        <v>1754</v>
      </c>
      <c r="E19" s="3177"/>
      <c r="F19" s="56"/>
      <c r="G19" s="1588"/>
      <c r="H19" s="1644" t="s">
        <v>1829</v>
      </c>
      <c r="I19" s="783" t="s">
        <v>660</v>
      </c>
      <c r="J19" s="53">
        <f ca="1">IF(K19="按租金收入计税",ROUND(J5*M19,1),ROUND(C29*F33*0.7,1))</f>
        <v>529.6</v>
      </c>
      <c r="K19" s="810" t="s">
        <v>661</v>
      </c>
      <c r="L19" s="783" t="s">
        <v>645</v>
      </c>
      <c r="M19" s="808">
        <f>IF(K19="按租金收入计税",'数据-取费表'!B51,'数据-取费表'!B50)</f>
        <v>1.2E-2</v>
      </c>
    </row>
    <row r="20" spans="1:33" s="2061" customFormat="1" ht="18" customHeight="1">
      <c r="A20" s="1645" t="s">
        <v>1886</v>
      </c>
      <c r="B20" s="783" t="s">
        <v>662</v>
      </c>
      <c r="C20" s="53">
        <f ca="1">ROUND(C19*F20,0)</f>
        <v>91</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95</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221</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-627</v>
      </c>
      <c r="K25" s="2569" t="s">
        <v>1774</v>
      </c>
      <c r="L25" s="2570"/>
      <c r="M25" s="2571"/>
    </row>
    <row r="26" spans="1:33" ht="18" customHeight="1">
      <c r="A26" s="1644" t="s">
        <v>1828</v>
      </c>
      <c r="B26" s="783" t="s">
        <v>2438</v>
      </c>
      <c r="C26" s="53">
        <f ca="1">ROUND((C19+C20)*F26,0)</f>
        <v>932</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6305</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382</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249.3</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504</v>
      </c>
      <c r="K35" s="2075"/>
      <c r="L35" s="2074"/>
      <c r="M35" s="2074"/>
    </row>
    <row r="36" spans="1:18" ht="18" customHeight="1">
      <c r="A36" s="1645" t="s">
        <v>1886</v>
      </c>
      <c r="B36" s="783" t="s">
        <v>672</v>
      </c>
      <c r="C36" s="53">
        <f ca="1">ROUND(C29*F36,1)</f>
        <v>94.6</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9.5</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1045</v>
      </c>
      <c r="D39" s="2569" t="s">
        <v>1774</v>
      </c>
      <c r="E39" s="2570"/>
      <c r="F39" s="2571"/>
      <c r="G39" s="2059"/>
      <c r="H39" s="2074"/>
      <c r="I39" s="836" t="s">
        <v>1815</v>
      </c>
      <c r="J39" s="844">
        <f ca="1">ROUND(J35/C39,3)</f>
        <v>0.48199999999999998</v>
      </c>
      <c r="K39" s="2080"/>
      <c r="L39" s="2074"/>
      <c r="M39" s="2074"/>
    </row>
    <row r="40" spans="1:18" ht="18" customHeight="1">
      <c r="A40" s="780" t="s">
        <v>1777</v>
      </c>
      <c r="B40" s="2229" t="s">
        <v>2300</v>
      </c>
      <c r="C40" s="782">
        <f ca="1">ROUND(C39*(1-((1+F42)/(1+F40))^F41)/(F40-F42),0)</f>
        <v>20855</v>
      </c>
      <c r="D40" s="813" t="s">
        <v>700</v>
      </c>
      <c r="E40" s="783" t="s">
        <v>2419</v>
      </c>
      <c r="F40" s="793">
        <f ca="1">INDIRECT("'数据-取费表'!I"&amp;$G$1)</f>
        <v>0.06</v>
      </c>
      <c r="G40" s="2059"/>
      <c r="H40" s="2059"/>
      <c r="I40" s="836" t="s">
        <v>1816</v>
      </c>
      <c r="J40" s="844">
        <f ca="1">1-J39</f>
        <v>0.51800000000000002</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0.30199999999999999</v>
      </c>
      <c r="K42" s="2079"/>
      <c r="L42" s="1985"/>
      <c r="M42" s="1985"/>
    </row>
    <row r="43" spans="1:18" ht="18" customHeight="1" thickBot="1">
      <c r="A43" s="822" t="s">
        <v>1784</v>
      </c>
      <c r="B43" s="823" t="s">
        <v>1807</v>
      </c>
      <c r="C43" s="824">
        <f ca="1">ROUND(C40*10000/F43,0)</f>
        <v>15387</v>
      </c>
      <c r="D43" s="825" t="s">
        <v>1808</v>
      </c>
      <c r="E43" s="826" t="s">
        <v>1809</v>
      </c>
      <c r="F43" s="827">
        <f ca="1">INDIRECT("'数据-取费表'!k"&amp;$G$1)</f>
        <v>13553.91</v>
      </c>
      <c r="G43" s="2059"/>
      <c r="H43" s="1985"/>
      <c r="I43" s="846" t="s">
        <v>1819</v>
      </c>
      <c r="J43" s="847">
        <f ca="1">1-J42</f>
        <v>0.69799999999999995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-22401</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20855</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6305</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9095</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20855</v>
      </c>
      <c r="R54" s="2424" t="s">
        <v>2392</v>
      </c>
    </row>
    <row r="55" spans="1:18" s="2056" customFormat="1" ht="18" customHeight="1" thickTop="1" thickBot="1">
      <c r="A55" s="796">
        <v>2</v>
      </c>
      <c r="B55" s="797" t="s">
        <v>640</v>
      </c>
      <c r="C55" s="798">
        <f ca="1">C13</f>
        <v>6305</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6305</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106</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20855</v>
      </c>
      <c r="R57" s="2420" t="s">
        <v>2380</v>
      </c>
    </row>
    <row r="58" spans="1:18" s="2056" customFormat="1" ht="28.5" customHeight="1" thickBot="1">
      <c r="A58" s="1645" t="s">
        <v>1821</v>
      </c>
      <c r="B58" s="783" t="s">
        <v>652</v>
      </c>
      <c r="C58" s="53">
        <f ca="1">ROUND(IF(项目基本情况!B11="自然人",C47*F58,C59+C60+C61),1)</f>
        <v>2</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94.6</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20855</v>
      </c>
      <c r="R63" s="2424" t="s">
        <v>2392</v>
      </c>
    </row>
    <row r="64" spans="1:18" s="2056" customFormat="1" ht="16.5" thickBot="1">
      <c r="A64" s="1645" t="s">
        <v>1887</v>
      </c>
      <c r="B64" s="783" t="s">
        <v>675</v>
      </c>
      <c r="C64" s="53">
        <f ca="1">ROUND(C55*F64,1)</f>
        <v>9.5</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-106</v>
      </c>
      <c r="D66" s="3174" t="s">
        <v>696</v>
      </c>
      <c r="E66" s="3172"/>
      <c r="F66" s="819"/>
      <c r="K66" s="2083"/>
      <c r="O66" s="2419" t="s">
        <v>2379</v>
      </c>
      <c r="P66" s="2420" t="s">
        <v>2405</v>
      </c>
      <c r="Q66" s="2421">
        <f ca="1">C40+J29</f>
        <v>20855</v>
      </c>
      <c r="R66" s="2420" t="s">
        <v>2380</v>
      </c>
    </row>
    <row r="67" spans="1:18" s="2056" customFormat="1" ht="20.25" thickBot="1">
      <c r="A67" s="780" t="s">
        <v>1777</v>
      </c>
      <c r="B67" s="2229" t="s">
        <v>2300</v>
      </c>
      <c r="C67" s="782">
        <f ca="1">ROUND(C66*(1-((1+F69)/(1+F67))^F68)/(F67-F69),0)</f>
        <v>-1546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9095</v>
      </c>
      <c r="R68" s="2427" t="s">
        <v>2416</v>
      </c>
    </row>
    <row r="69" spans="1:18" ht="20.25" thickBot="1">
      <c r="A69" s="789"/>
      <c r="B69" s="790"/>
      <c r="C69" s="791"/>
      <c r="D69" s="815"/>
      <c r="E69" s="783" t="s">
        <v>706</v>
      </c>
      <c r="F69" s="2368"/>
      <c r="O69" s="2422" t="s">
        <v>2384</v>
      </c>
      <c r="P69" s="2428" t="s">
        <v>2398</v>
      </c>
      <c r="Q69" s="2421">
        <f ca="1">ROUND(Q70-Q71*Q72,0)</f>
        <v>541</v>
      </c>
      <c r="R69" s="2424"/>
    </row>
    <row r="70" spans="1:18" ht="15.75" thickBot="1">
      <c r="A70" s="822" t="s">
        <v>1784</v>
      </c>
      <c r="B70" s="823" t="s">
        <v>1807</v>
      </c>
      <c r="C70" s="824">
        <f ca="1">ROUND(C67*10000/F70,0)</f>
        <v>-1141</v>
      </c>
      <c r="D70" s="825" t="s">
        <v>1808</v>
      </c>
      <c r="E70" s="826" t="s">
        <v>1809</v>
      </c>
      <c r="F70" s="827">
        <f ca="1">F43</f>
        <v>13553.91</v>
      </c>
      <c r="O70" s="2422" t="s">
        <v>2399</v>
      </c>
      <c r="P70" s="2428" t="s">
        <v>2400</v>
      </c>
      <c r="Q70" s="2421">
        <f ca="1">C39</f>
        <v>1045</v>
      </c>
      <c r="R70" s="2420" t="s">
        <v>2380</v>
      </c>
    </row>
    <row r="71" spans="1:18" ht="15.75" thickBot="1">
      <c r="O71" s="2422" t="s">
        <v>2401</v>
      </c>
      <c r="P71" s="2428" t="s">
        <v>2402</v>
      </c>
      <c r="Q71" s="2421">
        <f ca="1">C13</f>
        <v>6305</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20855</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1" t="s">
        <v>2471</v>
      </c>
      <c r="B1" s="3532"/>
      <c r="C1" s="3533"/>
      <c r="D1" s="3534">
        <f>SUM(I10,I15,I20,I21,I23)</f>
        <v>0</v>
      </c>
      <c r="E1" s="3534"/>
      <c r="F1" s="3534"/>
      <c r="G1" s="3534"/>
      <c r="H1" s="3534"/>
      <c r="I1" s="3535"/>
    </row>
    <row r="2" spans="1:9">
      <c r="A2" s="3521" t="s">
        <v>2472</v>
      </c>
      <c r="B2" s="3522" t="s">
        <v>2473</v>
      </c>
      <c r="C2" s="3522"/>
      <c r="D2" s="2528" t="s">
        <v>2474</v>
      </c>
      <c r="E2" s="2528" t="s">
        <v>2475</v>
      </c>
      <c r="F2" s="2528" t="s">
        <v>2476</v>
      </c>
      <c r="G2" s="2528" t="s">
        <v>2477</v>
      </c>
      <c r="H2" s="2528" t="s">
        <v>2478</v>
      </c>
      <c r="I2" s="2529" t="s">
        <v>2479</v>
      </c>
    </row>
    <row r="3" spans="1:9">
      <c r="A3" s="3521"/>
      <c r="B3" s="3522" t="s">
        <v>2480</v>
      </c>
      <c r="C3" s="3522"/>
      <c r="D3" s="2530"/>
      <c r="E3" s="2528"/>
      <c r="F3" s="2531"/>
      <c r="G3" s="2531"/>
      <c r="H3" s="2532"/>
      <c r="I3" s="2533">
        <f>ROUND(D3*E3*F3*G3*H3/10000,0)</f>
        <v>0</v>
      </c>
    </row>
    <row r="4" spans="1:9">
      <c r="A4" s="3521"/>
      <c r="B4" s="3522" t="s">
        <v>2481</v>
      </c>
      <c r="C4" s="3522"/>
      <c r="D4" s="2530"/>
      <c r="E4" s="2528"/>
      <c r="F4" s="2531"/>
      <c r="G4" s="2531"/>
      <c r="H4" s="2532"/>
      <c r="I4" s="2533">
        <f t="shared" ref="I4:I9" si="0">ROUND(D4*E4*F4*G4*H4/10000,0)</f>
        <v>0</v>
      </c>
    </row>
    <row r="5" spans="1:9">
      <c r="A5" s="3521"/>
      <c r="B5" s="3522" t="s">
        <v>2482</v>
      </c>
      <c r="C5" s="3522"/>
      <c r="D5" s="2530"/>
      <c r="E5" s="2528"/>
      <c r="F5" s="2531"/>
      <c r="G5" s="2531"/>
      <c r="H5" s="2532"/>
      <c r="I5" s="2533">
        <f t="shared" si="0"/>
        <v>0</v>
      </c>
    </row>
    <row r="6" spans="1:9">
      <c r="A6" s="3521"/>
      <c r="B6" s="3522" t="s">
        <v>2483</v>
      </c>
      <c r="C6" s="3522"/>
      <c r="D6" s="2530"/>
      <c r="E6" s="2528"/>
      <c r="F6" s="2531"/>
      <c r="G6" s="2531"/>
      <c r="H6" s="2532"/>
      <c r="I6" s="2533">
        <f t="shared" si="0"/>
        <v>0</v>
      </c>
    </row>
    <row r="7" spans="1:9">
      <c r="A7" s="3521"/>
      <c r="B7" s="3522" t="s">
        <v>2484</v>
      </c>
      <c r="C7" s="3522"/>
      <c r="D7" s="2530"/>
      <c r="E7" s="2528"/>
      <c r="F7" s="2531"/>
      <c r="G7" s="2531"/>
      <c r="H7" s="2532"/>
      <c r="I7" s="2533">
        <f t="shared" si="0"/>
        <v>0</v>
      </c>
    </row>
    <row r="8" spans="1:9">
      <c r="A8" s="3521"/>
      <c r="B8" s="3522" t="s">
        <v>2485</v>
      </c>
      <c r="C8" s="3522"/>
      <c r="D8" s="2530"/>
      <c r="E8" s="2528"/>
      <c r="F8" s="2531"/>
      <c r="G8" s="2531"/>
      <c r="H8" s="2532"/>
      <c r="I8" s="2533">
        <f t="shared" si="0"/>
        <v>0</v>
      </c>
    </row>
    <row r="9" spans="1:9">
      <c r="A9" s="3521"/>
      <c r="B9" s="3522" t="s">
        <v>2486</v>
      </c>
      <c r="C9" s="3522"/>
      <c r="D9" s="2530"/>
      <c r="E9" s="2528"/>
      <c r="F9" s="2531"/>
      <c r="G9" s="2531"/>
      <c r="H9" s="2532"/>
      <c r="I9" s="2533">
        <f t="shared" si="0"/>
        <v>0</v>
      </c>
    </row>
    <row r="10" spans="1:9">
      <c r="A10" s="3521"/>
      <c r="B10" s="3523" t="s">
        <v>2487</v>
      </c>
      <c r="C10" s="3523"/>
      <c r="D10" s="2534">
        <v>527</v>
      </c>
      <c r="E10" s="2534" t="e">
        <f>ROUND(D1*10000/D10/H9,0)</f>
        <v>#DIV/0!</v>
      </c>
      <c r="F10" s="2535"/>
      <c r="G10" s="2535"/>
      <c r="H10" s="2536"/>
      <c r="I10" s="2537">
        <f>SUM(I3:I9)</f>
        <v>0</v>
      </c>
    </row>
    <row r="11" spans="1:9" ht="14.25">
      <c r="A11" s="3521" t="s">
        <v>2488</v>
      </c>
      <c r="B11" s="3522" t="s">
        <v>2489</v>
      </c>
      <c r="C11" s="3522"/>
      <c r="D11" s="2530" t="s">
        <v>2490</v>
      </c>
      <c r="E11" s="2530" t="s">
        <v>2491</v>
      </c>
      <c r="F11" s="2531" t="s">
        <v>2492</v>
      </c>
      <c r="G11" s="2531" t="s">
        <v>2493</v>
      </c>
      <c r="H11" s="2538" t="s">
        <v>2494</v>
      </c>
      <c r="I11" s="2529" t="s">
        <v>2495</v>
      </c>
    </row>
    <row r="12" spans="1:9">
      <c r="A12" s="3521"/>
      <c r="B12" s="3522" t="s">
        <v>2496</v>
      </c>
      <c r="C12" s="3522"/>
      <c r="D12" s="2530"/>
      <c r="E12" s="2530"/>
      <c r="F12" s="2531"/>
      <c r="G12" s="2532"/>
      <c r="H12" s="2539"/>
      <c r="I12" s="2529">
        <f>ROUND(D12*E12*F12*G12/10000,0)</f>
        <v>0</v>
      </c>
    </row>
    <row r="13" spans="1:9">
      <c r="A13" s="3521"/>
      <c r="B13" s="3522" t="s">
        <v>2497</v>
      </c>
      <c r="C13" s="3522"/>
      <c r="D13" s="2530"/>
      <c r="E13" s="2530"/>
      <c r="F13" s="2531"/>
      <c r="G13" s="2532"/>
      <c r="H13" s="2539"/>
      <c r="I13" s="2529">
        <f>ROUND(D13*E13*F13*G13/10000,0)</f>
        <v>0</v>
      </c>
    </row>
    <row r="14" spans="1:9">
      <c r="A14" s="3521"/>
      <c r="B14" s="3522" t="s">
        <v>2498</v>
      </c>
      <c r="C14" s="3522"/>
      <c r="D14" s="2530"/>
      <c r="E14" s="2530"/>
      <c r="F14" s="2531"/>
      <c r="G14" s="2532"/>
      <c r="H14" s="2539"/>
      <c r="I14" s="2529">
        <f>ROUND(D14*E14*F14*G14/10000,0)</f>
        <v>0</v>
      </c>
    </row>
    <row r="15" spans="1:9">
      <c r="A15" s="3521"/>
      <c r="B15" s="3523" t="s">
        <v>2487</v>
      </c>
      <c r="C15" s="3523"/>
      <c r="D15" s="2534"/>
      <c r="E15" s="2534">
        <f>SUM(E12:E14)</f>
        <v>0</v>
      </c>
      <c r="F15" s="2535"/>
      <c r="G15" s="2532"/>
      <c r="H15" s="2539"/>
      <c r="I15" s="2540">
        <f>SUM(I12:I14)</f>
        <v>0</v>
      </c>
    </row>
    <row r="16" spans="1:9" ht="24">
      <c r="A16" s="3521" t="s">
        <v>2499</v>
      </c>
      <c r="B16" s="3522" t="s">
        <v>2500</v>
      </c>
      <c r="C16" s="3522"/>
      <c r="D16" s="2530" t="s">
        <v>2501</v>
      </c>
      <c r="E16" s="2541" t="s">
        <v>2502</v>
      </c>
      <c r="F16" s="2531" t="s">
        <v>2503</v>
      </c>
      <c r="G16" s="2532" t="s">
        <v>2493</v>
      </c>
      <c r="H16" s="2538" t="s">
        <v>2494</v>
      </c>
      <c r="I16" s="2529" t="s">
        <v>2495</v>
      </c>
    </row>
    <row r="17" spans="1:9" ht="14.25">
      <c r="A17" s="3521"/>
      <c r="B17" s="3522" t="s">
        <v>2504</v>
      </c>
      <c r="C17" s="3522"/>
      <c r="D17" s="2530"/>
      <c r="E17" s="2530"/>
      <c r="F17" s="2531"/>
      <c r="G17" s="2532"/>
      <c r="H17" s="2542"/>
      <c r="I17" s="2543">
        <f>ROUND(D17*E17*F17*G17/10000,0)</f>
        <v>0</v>
      </c>
    </row>
    <row r="18" spans="1:9" ht="14.25">
      <c r="A18" s="3521"/>
      <c r="B18" s="3522" t="s">
        <v>2505</v>
      </c>
      <c r="C18" s="3522"/>
      <c r="D18" s="2530"/>
      <c r="E18" s="2530"/>
      <c r="F18" s="2531"/>
      <c r="G18" s="2532"/>
      <c r="H18" s="2542"/>
      <c r="I18" s="2543">
        <f>ROUND(D18*E18*F18*G18/10000,0)</f>
        <v>0</v>
      </c>
    </row>
    <row r="19" spans="1:9" ht="14.25">
      <c r="A19" s="3521"/>
      <c r="B19" s="3522" t="s">
        <v>2506</v>
      </c>
      <c r="C19" s="3522"/>
      <c r="D19" s="2530"/>
      <c r="E19" s="2530"/>
      <c r="F19" s="2531"/>
      <c r="G19" s="2532"/>
      <c r="H19" s="2542"/>
      <c r="I19" s="2543">
        <f>ROUND(D19*E19*F19*G19/10000,0)</f>
        <v>0</v>
      </c>
    </row>
    <row r="20" spans="1:9">
      <c r="A20" s="3521"/>
      <c r="B20" s="3523" t="s">
        <v>2487</v>
      </c>
      <c r="C20" s="3523"/>
      <c r="D20" s="2534">
        <f>SUM(D17:D19)</f>
        <v>0</v>
      </c>
      <c r="E20" s="2534"/>
      <c r="F20" s="2535"/>
      <c r="G20" s="2532"/>
      <c r="H20" s="2539"/>
      <c r="I20" s="2540">
        <f>SUM(I17:I19)</f>
        <v>0</v>
      </c>
    </row>
    <row r="21" spans="1:9">
      <c r="A21" s="3521" t="s">
        <v>2507</v>
      </c>
      <c r="B21" s="3524"/>
      <c r="C21" s="3524"/>
      <c r="D21" s="3524"/>
      <c r="E21" s="3524"/>
      <c r="F21" s="3524"/>
      <c r="G21" s="3524"/>
      <c r="H21" s="2544">
        <v>0.1</v>
      </c>
      <c r="I21" s="2537">
        <f>ROUND(I10*H21,0)</f>
        <v>0</v>
      </c>
    </row>
    <row r="22" spans="1:9" ht="14.25">
      <c r="A22" s="3525" t="s">
        <v>2508</v>
      </c>
      <c r="B22" s="3526"/>
      <c r="C22" s="3527"/>
      <c r="D22" s="2545" t="s">
        <v>2509</v>
      </c>
      <c r="E22" s="2545" t="s">
        <v>2510</v>
      </c>
      <c r="F22" s="2546" t="s">
        <v>2511</v>
      </c>
      <c r="G22" s="2546" t="s">
        <v>2512</v>
      </c>
      <c r="H22" s="2538" t="s">
        <v>2513</v>
      </c>
      <c r="I22" s="2529" t="s">
        <v>2514</v>
      </c>
    </row>
    <row r="23" spans="1:9" ht="14.25" thickBot="1">
      <c r="A23" s="3528"/>
      <c r="B23" s="3529"/>
      <c r="C23" s="3530"/>
      <c r="D23" s="2547"/>
      <c r="E23" s="2547"/>
      <c r="F23" s="2547"/>
      <c r="G23" s="2548"/>
      <c r="H23" s="2549"/>
      <c r="I23" s="2550">
        <f>ROUND(E23*D23*F23*(1-G23)/10000,0)</f>
        <v>0</v>
      </c>
    </row>
    <row r="26" spans="1:9">
      <c r="A26" s="2551" t="s">
        <v>2515</v>
      </c>
      <c r="B26" s="2551"/>
      <c r="C26" s="2551"/>
      <c r="D26" s="2551"/>
      <c r="E26" s="3518">
        <f>C27-C30-C31-C32</f>
        <v>0</v>
      </c>
      <c r="F26" s="3518"/>
      <c r="G26" s="3518"/>
      <c r="H26" s="3061" t="s">
        <v>2843</v>
      </c>
    </row>
    <row r="27" spans="1:9">
      <c r="A27" s="2552">
        <v>1</v>
      </c>
      <c r="B27" s="2553" t="s">
        <v>2516</v>
      </c>
      <c r="C27" s="2553"/>
      <c r="D27" s="2553"/>
      <c r="E27" s="3519"/>
      <c r="F27" s="3519"/>
      <c r="G27" s="3519"/>
    </row>
    <row r="28" spans="1:9">
      <c r="A28" s="2554" t="s">
        <v>2517</v>
      </c>
      <c r="B28" s="2553" t="s">
        <v>2518</v>
      </c>
      <c r="C28" s="2553"/>
      <c r="D28" s="2553"/>
      <c r="E28" s="3519"/>
      <c r="F28" s="3519"/>
      <c r="G28" s="3519"/>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0"/>
      <c r="F32" s="3520"/>
      <c r="G32" s="3520"/>
    </row>
    <row r="33" spans="1:7" hidden="1">
      <c r="A33" s="3515" t="s">
        <v>2526</v>
      </c>
      <c r="B33" s="3516"/>
      <c r="C33" s="3516"/>
      <c r="D33" s="3517"/>
      <c r="E33" s="3518"/>
      <c r="F33" s="3518"/>
      <c r="G33" s="3518"/>
    </row>
    <row r="34" spans="1:7" hidden="1">
      <c r="A34" s="2556">
        <v>1</v>
      </c>
      <c r="B34" s="2553" t="s">
        <v>2527</v>
      </c>
      <c r="C34" s="2553"/>
      <c r="D34" s="2553"/>
      <c r="E34" s="3519"/>
      <c r="F34" s="3519"/>
      <c r="G34" s="3519"/>
    </row>
    <row r="35" spans="1:7" hidden="1">
      <c r="A35" s="2556">
        <v>2</v>
      </c>
      <c r="B35" s="2553" t="s">
        <v>2528</v>
      </c>
      <c r="C35" s="2553"/>
      <c r="D35" s="2553"/>
      <c r="E35" s="3519"/>
      <c r="F35" s="3519"/>
      <c r="G35" s="3519"/>
    </row>
    <row r="36" spans="1:7" hidden="1">
      <c r="A36" s="2556">
        <v>3</v>
      </c>
      <c r="B36" s="2553" t="s">
        <v>2529</v>
      </c>
      <c r="C36" s="2553"/>
      <c r="D36" s="2553"/>
      <c r="E36" s="3519"/>
      <c r="F36" s="3519"/>
      <c r="G36" s="3519"/>
    </row>
    <row r="37" spans="1:7" hidden="1">
      <c r="A37" s="2556">
        <v>4</v>
      </c>
      <c r="B37" s="2553" t="s">
        <v>2530</v>
      </c>
      <c r="C37" s="2553"/>
      <c r="D37" s="2553"/>
      <c r="E37" s="3519"/>
      <c r="F37" s="3519"/>
      <c r="G37" s="3519"/>
    </row>
    <row r="38" spans="1:7" hidden="1">
      <c r="A38" s="3515" t="s">
        <v>2531</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90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94.92</v>
      </c>
      <c r="F12" s="754"/>
      <c r="G12" s="758"/>
    </row>
    <row r="13" spans="1:25" s="2180" customFormat="1" ht="13.5" customHeight="1">
      <c r="A13" s="2497" t="s">
        <v>2447</v>
      </c>
      <c r="B13" s="755" t="s">
        <v>608</v>
      </c>
      <c r="C13" s="756">
        <f>ROUND(D13*E13/10000,0)</f>
        <v>2009</v>
      </c>
      <c r="D13" s="757">
        <f>'数据-汇总表'!E6</f>
        <v>211607.65</v>
      </c>
      <c r="E13" s="756">
        <f>'数据-取费表'!B28</f>
        <v>94.92</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0.14000000000000001</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46"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46"/>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46"/>
      <c r="AC6" s="3423"/>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4" t="s">
        <v>536</v>
      </c>
      <c r="Q15" s="1568" t="str">
        <f t="shared" si="6"/>
        <v>商业繁华度</v>
      </c>
      <c r="R15" s="1569" t="s">
        <v>8</v>
      </c>
      <c r="S15" s="1570">
        <f t="shared" si="0"/>
        <v>100</v>
      </c>
      <c r="T15" s="1569" t="s">
        <v>8</v>
      </c>
      <c r="U15" s="1570">
        <f t="shared" si="1"/>
        <v>100</v>
      </c>
      <c r="V15" s="1569" t="s">
        <v>8</v>
      </c>
      <c r="W15" s="1570">
        <f t="shared" si="2"/>
        <v>100</v>
      </c>
      <c r="X15" s="1563"/>
      <c r="Y15" s="3434"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5"/>
      <c r="Q23" s="1568" t="str">
        <f>B23</f>
        <v>自然及人文环境</v>
      </c>
      <c r="R23" s="1569" t="s">
        <v>8</v>
      </c>
      <c r="S23" s="1570">
        <f>F23</f>
        <v>100</v>
      </c>
      <c r="T23" s="1569" t="s">
        <v>8</v>
      </c>
      <c r="U23" s="1570">
        <f>H23</f>
        <v>100</v>
      </c>
      <c r="V23" s="1569" t="s">
        <v>8</v>
      </c>
      <c r="W23" s="1570">
        <f>J23</f>
        <v>100</v>
      </c>
      <c r="X23" s="1563"/>
      <c r="Y23" s="3435"/>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5"/>
      <c r="Q25" s="1568" t="str">
        <f t="shared" ref="Q25:Q46" si="11">B25</f>
        <v>临街状况</v>
      </c>
      <c r="R25" s="1569" t="s">
        <v>8</v>
      </c>
      <c r="S25" s="1570">
        <f>F25</f>
        <v>100</v>
      </c>
      <c r="T25" s="1569" t="s">
        <v>8</v>
      </c>
      <c r="U25" s="1570">
        <f>H25</f>
        <v>100</v>
      </c>
      <c r="V25" s="1569" t="s">
        <v>8</v>
      </c>
      <c r="W25" s="1570">
        <f>J25</f>
        <v>100</v>
      </c>
      <c r="X25" s="1563"/>
      <c r="Y25" s="3435"/>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5"/>
      <c r="Q26" s="1568" t="str">
        <f t="shared" si="11"/>
        <v>平面位置/可视性</v>
      </c>
      <c r="R26" s="1569" t="s">
        <v>8</v>
      </c>
      <c r="S26" s="1570">
        <f>F26</f>
        <v>100</v>
      </c>
      <c r="T26" s="1569" t="s">
        <v>8</v>
      </c>
      <c r="U26" s="1570">
        <f>H26</f>
        <v>100</v>
      </c>
      <c r="V26" s="1569" t="s">
        <v>8</v>
      </c>
      <c r="W26" s="1570">
        <f>J26</f>
        <v>100</v>
      </c>
      <c r="X26" s="1563"/>
      <c r="Y26" s="3435"/>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5"/>
      <c r="Q27" s="1149" t="str">
        <f t="shared" si="11"/>
        <v>人流量</v>
      </c>
      <c r="R27" s="1564" t="s">
        <v>8</v>
      </c>
      <c r="S27" s="1565">
        <f>F27</f>
        <v>100</v>
      </c>
      <c r="T27" s="1564" t="s">
        <v>8</v>
      </c>
      <c r="U27" s="1565">
        <f>H27</f>
        <v>100</v>
      </c>
      <c r="V27" s="1564" t="s">
        <v>8</v>
      </c>
      <c r="W27" s="1565">
        <f>J27</f>
        <v>100</v>
      </c>
      <c r="X27" s="1566"/>
      <c r="Y27" s="3435"/>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5"/>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5"/>
      <c r="Q29" s="1568">
        <f t="shared" si="11"/>
        <v>111</v>
      </c>
      <c r="R29" s="1569" t="s">
        <v>8</v>
      </c>
      <c r="S29" s="1570">
        <f t="shared" si="12"/>
        <v>100</v>
      </c>
      <c r="T29" s="1569" t="s">
        <v>8</v>
      </c>
      <c r="U29" s="1570">
        <f t="shared" si="13"/>
        <v>100</v>
      </c>
      <c r="V29" s="1569" t="s">
        <v>8</v>
      </c>
      <c r="W29" s="1570">
        <f t="shared" si="14"/>
        <v>100</v>
      </c>
      <c r="X29" s="1563"/>
      <c r="Y29" s="3435"/>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6" t="s">
        <v>546</v>
      </c>
      <c r="Q32" s="1568" t="str">
        <f t="shared" si="11"/>
        <v>商业类型</v>
      </c>
      <c r="R32" s="1569" t="s">
        <v>8</v>
      </c>
      <c r="S32" s="1570">
        <f t="shared" si="12"/>
        <v>100</v>
      </c>
      <c r="T32" s="1569" t="s">
        <v>8</v>
      </c>
      <c r="U32" s="1570">
        <f t="shared" si="13"/>
        <v>100</v>
      </c>
      <c r="V32" s="1569" t="s">
        <v>8</v>
      </c>
      <c r="W32" s="1570">
        <f t="shared" si="14"/>
        <v>100</v>
      </c>
      <c r="X32" s="1563"/>
      <c r="Y32" s="3437"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37"/>
      <c r="Q33" s="1601" t="str">
        <f t="shared" si="11"/>
        <v>项目建筑规模</v>
      </c>
      <c r="R33" s="1573" t="s">
        <v>8</v>
      </c>
      <c r="S33" s="1574" t="e">
        <f t="shared" si="12"/>
        <v>#N/A</v>
      </c>
      <c r="T33" s="1573" t="s">
        <v>8</v>
      </c>
      <c r="U33" s="1574" t="e">
        <f t="shared" si="13"/>
        <v>#N/A</v>
      </c>
      <c r="V33" s="1573" t="s">
        <v>8</v>
      </c>
      <c r="W33" s="1574" t="e">
        <f t="shared" si="14"/>
        <v>#N/A</v>
      </c>
      <c r="X33" s="1575"/>
      <c r="Y33" s="3437"/>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37"/>
      <c r="Q34" s="1568" t="str">
        <f t="shared" si="11"/>
        <v>建筑结构</v>
      </c>
      <c r="R34" s="1569" t="s">
        <v>8</v>
      </c>
      <c r="S34" s="1570">
        <f t="shared" si="12"/>
        <v>100</v>
      </c>
      <c r="T34" s="1569" t="s">
        <v>8</v>
      </c>
      <c r="U34" s="1570">
        <f t="shared" si="13"/>
        <v>100</v>
      </c>
      <c r="V34" s="1569" t="s">
        <v>8</v>
      </c>
      <c r="W34" s="1570">
        <f t="shared" si="14"/>
        <v>100</v>
      </c>
      <c r="X34" s="1563"/>
      <c r="Y34" s="3437"/>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37"/>
      <c r="Q35" s="1568" t="str">
        <f t="shared" si="11"/>
        <v>公共部分装修</v>
      </c>
      <c r="R35" s="1569" t="s">
        <v>8</v>
      </c>
      <c r="S35" s="1570">
        <f t="shared" si="12"/>
        <v>100</v>
      </c>
      <c r="T35" s="1569" t="s">
        <v>8</v>
      </c>
      <c r="U35" s="1570">
        <f t="shared" si="13"/>
        <v>100</v>
      </c>
      <c r="V35" s="1569" t="s">
        <v>8</v>
      </c>
      <c r="W35" s="1570">
        <f t="shared" si="14"/>
        <v>100</v>
      </c>
      <c r="X35" s="1563"/>
      <c r="Y35" s="3437"/>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37"/>
      <c r="Q36" s="1568" t="str">
        <f t="shared" si="11"/>
        <v>成新度</v>
      </c>
      <c r="R36" s="1569" t="s">
        <v>8</v>
      </c>
      <c r="S36" s="1570" t="e">
        <f t="shared" si="12"/>
        <v>#N/A</v>
      </c>
      <c r="T36" s="1569" t="s">
        <v>8</v>
      </c>
      <c r="U36" s="1570" t="e">
        <f t="shared" si="13"/>
        <v>#N/A</v>
      </c>
      <c r="V36" s="1569" t="s">
        <v>8</v>
      </c>
      <c r="W36" s="1570" t="e">
        <f t="shared" si="14"/>
        <v>#N/A</v>
      </c>
      <c r="X36" s="1563"/>
      <c r="Y36" s="3437"/>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37"/>
      <c r="Q37" s="1149" t="str">
        <f t="shared" si="11"/>
        <v>市政基础设施</v>
      </c>
      <c r="R37" s="1564" t="s">
        <v>8</v>
      </c>
      <c r="S37" s="1565">
        <f t="shared" si="12"/>
        <v>100</v>
      </c>
      <c r="T37" s="1564" t="s">
        <v>8</v>
      </c>
      <c r="U37" s="1565">
        <f t="shared" si="13"/>
        <v>100</v>
      </c>
      <c r="V37" s="1564" t="s">
        <v>8</v>
      </c>
      <c r="W37" s="1565">
        <f t="shared" si="14"/>
        <v>100</v>
      </c>
      <c r="X37" s="1566"/>
      <c r="Y37" s="3437"/>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37" t="s">
        <v>762</v>
      </c>
      <c r="Q38" s="1568" t="str">
        <f t="shared" si="11"/>
        <v>业态</v>
      </c>
      <c r="R38" s="1569" t="s">
        <v>8</v>
      </c>
      <c r="S38" s="1570">
        <f t="shared" si="12"/>
        <v>100</v>
      </c>
      <c r="T38" s="1569" t="s">
        <v>8</v>
      </c>
      <c r="U38" s="1570">
        <f t="shared" si="13"/>
        <v>100</v>
      </c>
      <c r="V38" s="1569" t="s">
        <v>8</v>
      </c>
      <c r="W38" s="1570">
        <f t="shared" si="14"/>
        <v>100</v>
      </c>
      <c r="X38" s="1563"/>
      <c r="Y38" s="3437"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37"/>
      <c r="Q39" s="1568" t="str">
        <f t="shared" si="11"/>
        <v>层高</v>
      </c>
      <c r="R39" s="1569" t="s">
        <v>8</v>
      </c>
      <c r="S39" s="1570">
        <f t="shared" si="12"/>
        <v>100</v>
      </c>
      <c r="T39" s="1569" t="s">
        <v>8</v>
      </c>
      <c r="U39" s="1570">
        <f t="shared" si="13"/>
        <v>100</v>
      </c>
      <c r="V39" s="1569" t="s">
        <v>8</v>
      </c>
      <c r="W39" s="1570">
        <f t="shared" si="14"/>
        <v>100</v>
      </c>
      <c r="X39" s="1563"/>
      <c r="Y39" s="3437"/>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37"/>
      <c r="Q40" s="1568" t="str">
        <f t="shared" si="11"/>
        <v>单套建筑面积</v>
      </c>
      <c r="R40" s="1569" t="s">
        <v>8</v>
      </c>
      <c r="S40" s="1570">
        <f t="shared" si="12"/>
        <v>100</v>
      </c>
      <c r="T40" s="1569" t="s">
        <v>8</v>
      </c>
      <c r="U40" s="1570">
        <f t="shared" si="13"/>
        <v>100</v>
      </c>
      <c r="V40" s="1569" t="s">
        <v>8</v>
      </c>
      <c r="W40" s="1570">
        <f t="shared" si="14"/>
        <v>100</v>
      </c>
      <c r="X40" s="1563"/>
      <c r="Y40" s="3437"/>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37"/>
      <c r="Q41" s="1601" t="str">
        <f t="shared" si="11"/>
        <v>进深比</v>
      </c>
      <c r="R41" s="1573" t="s">
        <v>8</v>
      </c>
      <c r="S41" s="1574">
        <f t="shared" si="12"/>
        <v>100</v>
      </c>
      <c r="T41" s="1573" t="s">
        <v>8</v>
      </c>
      <c r="U41" s="1574">
        <f t="shared" si="13"/>
        <v>100</v>
      </c>
      <c r="V41" s="1573" t="s">
        <v>8</v>
      </c>
      <c r="W41" s="1574">
        <f t="shared" si="14"/>
        <v>100</v>
      </c>
      <c r="X41" s="1575"/>
      <c r="Y41" s="3437"/>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37"/>
      <c r="Q42" s="1568" t="str">
        <f t="shared" si="11"/>
        <v>内部装修</v>
      </c>
      <c r="R42" s="1569" t="s">
        <v>8</v>
      </c>
      <c r="S42" s="1570">
        <f t="shared" si="12"/>
        <v>100</v>
      </c>
      <c r="T42" s="1569" t="s">
        <v>8</v>
      </c>
      <c r="U42" s="1570">
        <f t="shared" si="13"/>
        <v>100</v>
      </c>
      <c r="V42" s="1569" t="s">
        <v>8</v>
      </c>
      <c r="W42" s="1570">
        <f t="shared" si="14"/>
        <v>100</v>
      </c>
      <c r="X42" s="1563"/>
      <c r="Y42" s="3437"/>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37"/>
      <c r="Q43" s="1568" t="str">
        <f t="shared" si="11"/>
        <v>内部装修维护情况</v>
      </c>
      <c r="R43" s="1569" t="s">
        <v>8</v>
      </c>
      <c r="S43" s="1570">
        <f t="shared" si="12"/>
        <v>100</v>
      </c>
      <c r="T43" s="1569" t="s">
        <v>8</v>
      </c>
      <c r="U43" s="1570">
        <f t="shared" si="13"/>
        <v>100</v>
      </c>
      <c r="V43" s="1569" t="s">
        <v>8</v>
      </c>
      <c r="W43" s="1570">
        <f t="shared" si="14"/>
        <v>100</v>
      </c>
      <c r="X43" s="1563"/>
      <c r="Y43" s="3437"/>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37"/>
      <c r="Q44" s="1149">
        <f t="shared" si="11"/>
        <v>111</v>
      </c>
      <c r="R44" s="1564" t="s">
        <v>8</v>
      </c>
      <c r="S44" s="1565">
        <f t="shared" si="12"/>
        <v>100</v>
      </c>
      <c r="T44" s="1564" t="s">
        <v>8</v>
      </c>
      <c r="U44" s="1565">
        <f t="shared" si="13"/>
        <v>100</v>
      </c>
      <c r="V44" s="1564" t="s">
        <v>8</v>
      </c>
      <c r="W44" s="1565">
        <f t="shared" si="14"/>
        <v>100</v>
      </c>
      <c r="X44" s="1566"/>
      <c r="Y44" s="3437"/>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37"/>
      <c r="Q45" s="1568">
        <f t="shared" si="11"/>
        <v>111</v>
      </c>
      <c r="R45" s="1569" t="s">
        <v>8</v>
      </c>
      <c r="S45" s="1570">
        <f t="shared" si="12"/>
        <v>100</v>
      </c>
      <c r="T45" s="1569" t="s">
        <v>8</v>
      </c>
      <c r="U45" s="1570">
        <f t="shared" si="13"/>
        <v>100</v>
      </c>
      <c r="V45" s="1569" t="s">
        <v>8</v>
      </c>
      <c r="W45" s="1570">
        <f t="shared" si="14"/>
        <v>100</v>
      </c>
      <c r="X45" s="1563"/>
      <c r="Y45" s="3437"/>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0"/>
      <c r="Q46" s="1568">
        <f t="shared" si="11"/>
        <v>111</v>
      </c>
      <c r="R46" s="1569" t="s">
        <v>8</v>
      </c>
      <c r="S46" s="1570">
        <f t="shared" si="12"/>
        <v>100</v>
      </c>
      <c r="T46" s="1569" t="s">
        <v>8</v>
      </c>
      <c r="U46" s="1570">
        <f t="shared" si="13"/>
        <v>100</v>
      </c>
      <c r="V46" s="1569" t="s">
        <v>8</v>
      </c>
      <c r="W46" s="1570">
        <f t="shared" si="14"/>
        <v>100</v>
      </c>
      <c r="X46" s="1563"/>
      <c r="Y46" s="3510"/>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32" t="str">
        <f>A47</f>
        <v>成交单价（元/平方米）</v>
      </c>
      <c r="Q47" s="3432"/>
      <c r="R47" s="3511">
        <f>E47</f>
        <v>0</v>
      </c>
      <c r="S47" s="3511"/>
      <c r="T47" s="3511">
        <f>G47</f>
        <v>0</v>
      </c>
      <c r="U47" s="3511"/>
      <c r="V47" s="3511">
        <f>I47</f>
        <v>0</v>
      </c>
      <c r="W47" s="3511"/>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32" t="str">
        <f>A48</f>
        <v>比较价格（元/平方米）</v>
      </c>
      <c r="Q48" s="3432"/>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55"/>
      <c r="Y48" s="1555"/>
      <c r="Z48" s="1555"/>
      <c r="AA48" s="1555"/>
      <c r="AB48" s="1555"/>
      <c r="AC48" s="1555"/>
    </row>
    <row r="49" spans="1:29" ht="15.75" thickBot="1">
      <c r="A49" s="620" t="s">
        <v>2933</v>
      </c>
      <c r="B49" s="621"/>
      <c r="C49" s="2657" t="e">
        <f>R49</f>
        <v>#DIV/0!</v>
      </c>
      <c r="D49" s="2657"/>
      <c r="E49" s="2657"/>
      <c r="F49" s="2657"/>
      <c r="G49" s="2657"/>
      <c r="H49" s="2657"/>
      <c r="I49" s="2657"/>
      <c r="J49" s="2657"/>
      <c r="K49" s="1609"/>
      <c r="L49" s="2141"/>
      <c r="M49" s="2142"/>
      <c r="N49" s="2131"/>
      <c r="O49" s="2142"/>
      <c r="P49" s="3453" t="str">
        <f>A49</f>
        <v>估价对象XX用房的比较价格（楼面单价，元/平方米）</v>
      </c>
      <c r="Q49" s="3454"/>
      <c r="R49" s="3512" t="e">
        <f>IF(F1="售价",ROUND(AVERAGE(R48:V48),0),ROUND(AVERAGE(R48:V48),1))</f>
        <v>#DIV/0!</v>
      </c>
      <c r="S49" s="3512"/>
      <c r="T49" s="3512"/>
      <c r="U49" s="3512"/>
      <c r="V49" s="3512"/>
      <c r="W49" s="3512"/>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38" t="s">
        <v>518</v>
      </c>
      <c r="D4" s="3439"/>
      <c r="E4" s="3462" t="s">
        <v>519</v>
      </c>
      <c r="F4" s="3463"/>
      <c r="G4" s="3438" t="s">
        <v>520</v>
      </c>
      <c r="H4" s="3439"/>
      <c r="I4" s="3438" t="s">
        <v>521</v>
      </c>
      <c r="J4" s="3439"/>
      <c r="K4" s="513" t="s">
        <v>522</v>
      </c>
      <c r="L4" s="2130"/>
      <c r="M4" s="2131"/>
      <c r="N4" s="2131"/>
      <c r="O4" s="2131"/>
      <c r="P4" s="3536" t="s">
        <v>523</v>
      </c>
      <c r="Q4" s="3441"/>
      <c r="R4" s="3426" t="s">
        <v>519</v>
      </c>
      <c r="S4" s="3427"/>
      <c r="T4" s="3426" t="s">
        <v>520</v>
      </c>
      <c r="U4" s="3427"/>
      <c r="V4" s="3446" t="s">
        <v>521</v>
      </c>
      <c r="W4" s="3446"/>
      <c r="X4" s="1563"/>
      <c r="Y4" s="3426" t="s">
        <v>523</v>
      </c>
      <c r="Z4" s="3427"/>
      <c r="AA4" s="3421" t="s">
        <v>519</v>
      </c>
      <c r="AB4" s="3421"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537"/>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538"/>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3"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3" t="s">
        <v>529</v>
      </c>
      <c r="Q8" s="3425"/>
      <c r="R8" s="1564" t="s">
        <v>8</v>
      </c>
      <c r="S8" s="1565">
        <f t="shared" si="0"/>
        <v>0</v>
      </c>
      <c r="T8" s="1564" t="s">
        <v>8</v>
      </c>
      <c r="U8" s="1565">
        <f t="shared" si="1"/>
        <v>0</v>
      </c>
      <c r="V8" s="1564" t="s">
        <v>8</v>
      </c>
      <c r="W8" s="1565">
        <f t="shared" si="2"/>
        <v>0</v>
      </c>
      <c r="X8" s="1566"/>
      <c r="Y8" s="3424" t="s">
        <v>529</v>
      </c>
      <c r="Z8" s="3425"/>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4" t="s">
        <v>536</v>
      </c>
      <c r="Q15" s="1568" t="str">
        <f t="shared" si="6"/>
        <v>办公集聚程度</v>
      </c>
      <c r="R15" s="1569" t="s">
        <v>8</v>
      </c>
      <c r="S15" s="1570">
        <f t="shared" si="0"/>
        <v>100</v>
      </c>
      <c r="T15" s="1569" t="s">
        <v>8</v>
      </c>
      <c r="U15" s="1570">
        <f t="shared" si="1"/>
        <v>100</v>
      </c>
      <c r="V15" s="1569" t="s">
        <v>8</v>
      </c>
      <c r="W15" s="1570">
        <f t="shared" si="2"/>
        <v>100</v>
      </c>
      <c r="X15" s="1563"/>
      <c r="Y15" s="3434"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35"/>
      <c r="Q16" s="1568"/>
      <c r="R16" s="1569"/>
      <c r="S16" s="1570"/>
      <c r="T16" s="1569"/>
      <c r="U16" s="1570"/>
      <c r="V16" s="1569"/>
      <c r="W16" s="1570"/>
      <c r="X16" s="1563"/>
      <c r="Y16" s="3435"/>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35"/>
      <c r="Q18" s="1568"/>
      <c r="R18" s="1569"/>
      <c r="S18" s="1570"/>
      <c r="T18" s="1569"/>
      <c r="U18" s="1570"/>
      <c r="V18" s="1569"/>
      <c r="W18" s="1570"/>
      <c r="X18" s="1563"/>
      <c r="Y18" s="3435"/>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35"/>
      <c r="Q20" s="1568"/>
      <c r="R20" s="1569"/>
      <c r="S20" s="1570"/>
      <c r="T20" s="1569"/>
      <c r="U20" s="1570"/>
      <c r="V20" s="1569"/>
      <c r="W20" s="1570"/>
      <c r="X20" s="1563"/>
      <c r="Y20" s="3435"/>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35"/>
      <c r="Q22" s="2600"/>
      <c r="R22" s="1569"/>
      <c r="S22" s="1570"/>
      <c r="T22" s="1569"/>
      <c r="U22" s="1570"/>
      <c r="V22" s="1569"/>
      <c r="W22" s="1570"/>
      <c r="X22" s="2602"/>
      <c r="Y22" s="3435"/>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35"/>
      <c r="Q24" s="1568"/>
      <c r="R24" s="1569"/>
      <c r="S24" s="1570"/>
      <c r="T24" s="1569"/>
      <c r="U24" s="1570"/>
      <c r="V24" s="1569"/>
      <c r="W24" s="1570"/>
      <c r="X24" s="1563"/>
      <c r="Y24" s="3435"/>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5"/>
      <c r="Q25" s="1568" t="str">
        <f>B25</f>
        <v>毗邻道路的类型与等级</v>
      </c>
      <c r="R25" s="1569" t="s">
        <v>8</v>
      </c>
      <c r="S25" s="1570">
        <f>F25</f>
        <v>100</v>
      </c>
      <c r="T25" s="1569" t="s">
        <v>8</v>
      </c>
      <c r="U25" s="1570">
        <f>H25</f>
        <v>100</v>
      </c>
      <c r="V25" s="1569" t="s">
        <v>8</v>
      </c>
      <c r="W25" s="1570">
        <f>J25</f>
        <v>100</v>
      </c>
      <c r="X25" s="1563"/>
      <c r="Y25" s="3435"/>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35"/>
      <c r="Q26" s="1568"/>
      <c r="R26" s="1569"/>
      <c r="S26" s="1570"/>
      <c r="T26" s="1569"/>
      <c r="U26" s="1570"/>
      <c r="V26" s="1569"/>
      <c r="W26" s="1570"/>
      <c r="X26" s="1563"/>
      <c r="Y26" s="3435"/>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5"/>
      <c r="Q27" s="1568" t="str">
        <f t="shared" ref="Q27:Q47" si="11">B27</f>
        <v>楼层</v>
      </c>
      <c r="R27" s="1569" t="s">
        <v>8</v>
      </c>
      <c r="S27" s="1570">
        <f>F27</f>
        <v>100</v>
      </c>
      <c r="T27" s="1569" t="s">
        <v>8</v>
      </c>
      <c r="U27" s="1570">
        <f>H27</f>
        <v>100</v>
      </c>
      <c r="V27" s="1569" t="s">
        <v>8</v>
      </c>
      <c r="W27" s="1570">
        <f>J27</f>
        <v>100</v>
      </c>
      <c r="X27" s="1563"/>
      <c r="Y27" s="3435"/>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5"/>
      <c r="Q28" s="1149" t="str">
        <f t="shared" si="11"/>
        <v>朝向</v>
      </c>
      <c r="R28" s="1564" t="s">
        <v>8</v>
      </c>
      <c r="S28" s="1565">
        <f>F28</f>
        <v>100</v>
      </c>
      <c r="T28" s="1564" t="s">
        <v>8</v>
      </c>
      <c r="U28" s="1565">
        <f>H28</f>
        <v>100</v>
      </c>
      <c r="V28" s="1564" t="s">
        <v>8</v>
      </c>
      <c r="W28" s="1565">
        <f>J28</f>
        <v>100</v>
      </c>
      <c r="X28" s="1566"/>
      <c r="Y28" s="3435"/>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5"/>
      <c r="Q29" s="1568">
        <f t="shared" si="11"/>
        <v>111</v>
      </c>
      <c r="R29" s="1569" t="s">
        <v>8</v>
      </c>
      <c r="S29" s="1570">
        <f t="shared" ref="S29:S47" si="12">F29</f>
        <v>100</v>
      </c>
      <c r="T29" s="1569" t="s">
        <v>8</v>
      </c>
      <c r="U29" s="1570">
        <f t="shared" ref="U29:U47" si="13">H29</f>
        <v>100</v>
      </c>
      <c r="V29" s="1569" t="s">
        <v>8</v>
      </c>
      <c r="W29" s="1570">
        <f t="shared" ref="W29:W47" si="14">J29</f>
        <v>100</v>
      </c>
      <c r="X29" s="1563"/>
      <c r="Y29" s="3435"/>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5"/>
      <c r="Q30" s="1568">
        <f t="shared" si="11"/>
        <v>111</v>
      </c>
      <c r="R30" s="1569" t="s">
        <v>8</v>
      </c>
      <c r="S30" s="1570">
        <f t="shared" si="12"/>
        <v>100</v>
      </c>
      <c r="T30" s="1569" t="s">
        <v>8</v>
      </c>
      <c r="U30" s="1570">
        <f t="shared" si="13"/>
        <v>100</v>
      </c>
      <c r="V30" s="1569" t="s">
        <v>8</v>
      </c>
      <c r="W30" s="1570">
        <f t="shared" si="14"/>
        <v>100</v>
      </c>
      <c r="X30" s="1563"/>
      <c r="Y30" s="3435"/>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5"/>
      <c r="Q31" s="1568">
        <f t="shared" si="11"/>
        <v>111</v>
      </c>
      <c r="R31" s="1569" t="s">
        <v>8</v>
      </c>
      <c r="S31" s="1570">
        <f t="shared" si="12"/>
        <v>100</v>
      </c>
      <c r="T31" s="1569" t="s">
        <v>8</v>
      </c>
      <c r="U31" s="1570">
        <f t="shared" si="13"/>
        <v>100</v>
      </c>
      <c r="V31" s="1569" t="s">
        <v>8</v>
      </c>
      <c r="W31" s="1570">
        <f t="shared" si="14"/>
        <v>100</v>
      </c>
      <c r="X31" s="1563"/>
      <c r="Y31" s="3435"/>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5"/>
      <c r="Q32" s="1568">
        <f t="shared" si="11"/>
        <v>111</v>
      </c>
      <c r="R32" s="1569" t="s">
        <v>8</v>
      </c>
      <c r="S32" s="1570">
        <f t="shared" si="12"/>
        <v>100</v>
      </c>
      <c r="T32" s="1569" t="s">
        <v>8</v>
      </c>
      <c r="U32" s="1570">
        <f t="shared" si="13"/>
        <v>100</v>
      </c>
      <c r="V32" s="1569" t="s">
        <v>8</v>
      </c>
      <c r="W32" s="1570">
        <f t="shared" si="14"/>
        <v>100</v>
      </c>
      <c r="X32" s="1563"/>
      <c r="Y32" s="3435"/>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6" t="s">
        <v>546</v>
      </c>
      <c r="Q33" s="1568" t="str">
        <f t="shared" si="11"/>
        <v>建筑类型</v>
      </c>
      <c r="R33" s="1569" t="s">
        <v>8</v>
      </c>
      <c r="S33" s="1570">
        <f t="shared" si="12"/>
        <v>100</v>
      </c>
      <c r="T33" s="1569" t="s">
        <v>8</v>
      </c>
      <c r="U33" s="1570">
        <f t="shared" si="13"/>
        <v>100</v>
      </c>
      <c r="V33" s="1569" t="s">
        <v>8</v>
      </c>
      <c r="W33" s="1570">
        <f t="shared" si="14"/>
        <v>100</v>
      </c>
      <c r="X33" s="1563"/>
      <c r="Y33" s="3437"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37"/>
      <c r="Q34" s="1601" t="str">
        <f t="shared" si="11"/>
        <v>项目建筑规模</v>
      </c>
      <c r="R34" s="1573" t="s">
        <v>8</v>
      </c>
      <c r="S34" s="1574" t="e">
        <f t="shared" si="12"/>
        <v>#N/A</v>
      </c>
      <c r="T34" s="1573" t="s">
        <v>8</v>
      </c>
      <c r="U34" s="1574" t="e">
        <f t="shared" si="13"/>
        <v>#N/A</v>
      </c>
      <c r="V34" s="1573" t="s">
        <v>8</v>
      </c>
      <c r="W34" s="1574" t="e">
        <f t="shared" si="14"/>
        <v>#N/A</v>
      </c>
      <c r="X34" s="1575"/>
      <c r="Y34" s="3437"/>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37"/>
      <c r="Q35" s="1568" t="str">
        <f t="shared" si="11"/>
        <v>建筑结构</v>
      </c>
      <c r="R35" s="1569" t="s">
        <v>8</v>
      </c>
      <c r="S35" s="1570">
        <f t="shared" si="12"/>
        <v>100</v>
      </c>
      <c r="T35" s="1569" t="s">
        <v>8</v>
      </c>
      <c r="U35" s="1570">
        <f t="shared" si="13"/>
        <v>100</v>
      </c>
      <c r="V35" s="1569" t="s">
        <v>8</v>
      </c>
      <c r="W35" s="1570">
        <f t="shared" si="14"/>
        <v>100</v>
      </c>
      <c r="X35" s="1563"/>
      <c r="Y35" s="3437"/>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37"/>
      <c r="Q36" s="1568" t="str">
        <f t="shared" si="11"/>
        <v>公共部分装修</v>
      </c>
      <c r="R36" s="1569" t="s">
        <v>8</v>
      </c>
      <c r="S36" s="1570">
        <f t="shared" si="12"/>
        <v>100</v>
      </c>
      <c r="T36" s="1569" t="s">
        <v>8</v>
      </c>
      <c r="U36" s="1570">
        <f t="shared" si="13"/>
        <v>100</v>
      </c>
      <c r="V36" s="1569" t="s">
        <v>8</v>
      </c>
      <c r="W36" s="1570">
        <f t="shared" si="14"/>
        <v>100</v>
      </c>
      <c r="X36" s="1563"/>
      <c r="Y36" s="3437"/>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37"/>
      <c r="Q37" s="1568" t="str">
        <f t="shared" si="11"/>
        <v>成新度</v>
      </c>
      <c r="R37" s="1569" t="s">
        <v>8</v>
      </c>
      <c r="S37" s="1570" t="e">
        <f t="shared" si="12"/>
        <v>#N/A</v>
      </c>
      <c r="T37" s="1569" t="s">
        <v>8</v>
      </c>
      <c r="U37" s="1570" t="e">
        <f t="shared" si="13"/>
        <v>#N/A</v>
      </c>
      <c r="V37" s="1569" t="s">
        <v>8</v>
      </c>
      <c r="W37" s="1570" t="e">
        <f t="shared" si="14"/>
        <v>#N/A</v>
      </c>
      <c r="X37" s="1563"/>
      <c r="Y37" s="3437"/>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37"/>
      <c r="Q38" s="1149" t="str">
        <f t="shared" si="11"/>
        <v>写字楼等级</v>
      </c>
      <c r="R38" s="1564" t="s">
        <v>8</v>
      </c>
      <c r="S38" s="1565">
        <f t="shared" si="12"/>
        <v>100</v>
      </c>
      <c r="T38" s="1564" t="s">
        <v>8</v>
      </c>
      <c r="U38" s="1565">
        <f t="shared" si="13"/>
        <v>100</v>
      </c>
      <c r="V38" s="1564" t="s">
        <v>8</v>
      </c>
      <c r="W38" s="1565">
        <f t="shared" si="14"/>
        <v>100</v>
      </c>
      <c r="X38" s="1566"/>
      <c r="Y38" s="3437"/>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37" t="s">
        <v>546</v>
      </c>
      <c r="Q39" s="1568" t="str">
        <f t="shared" si="11"/>
        <v>物业管理</v>
      </c>
      <c r="R39" s="1569" t="s">
        <v>8</v>
      </c>
      <c r="S39" s="1570">
        <f t="shared" si="12"/>
        <v>100</v>
      </c>
      <c r="T39" s="1569" t="s">
        <v>8</v>
      </c>
      <c r="U39" s="1570">
        <f t="shared" si="13"/>
        <v>100</v>
      </c>
      <c r="V39" s="1569" t="s">
        <v>8</v>
      </c>
      <c r="W39" s="1570">
        <f t="shared" si="14"/>
        <v>100</v>
      </c>
      <c r="X39" s="1563"/>
      <c r="Y39" s="3437"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37"/>
      <c r="Q40" s="1568" t="str">
        <f t="shared" si="11"/>
        <v>市政基础设施</v>
      </c>
      <c r="R40" s="1569" t="s">
        <v>8</v>
      </c>
      <c r="S40" s="1570">
        <f t="shared" si="12"/>
        <v>100</v>
      </c>
      <c r="T40" s="1569" t="s">
        <v>8</v>
      </c>
      <c r="U40" s="1570">
        <f t="shared" si="13"/>
        <v>100</v>
      </c>
      <c r="V40" s="1569" t="s">
        <v>8</v>
      </c>
      <c r="W40" s="1570">
        <f t="shared" si="14"/>
        <v>100</v>
      </c>
      <c r="X40" s="1563"/>
      <c r="Y40" s="3437"/>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37"/>
      <c r="Q41" s="1568" t="str">
        <f t="shared" si="11"/>
        <v>层高</v>
      </c>
      <c r="R41" s="1569" t="s">
        <v>8</v>
      </c>
      <c r="S41" s="1570">
        <f t="shared" si="12"/>
        <v>100</v>
      </c>
      <c r="T41" s="1569" t="s">
        <v>8</v>
      </c>
      <c r="U41" s="1570">
        <f t="shared" si="13"/>
        <v>100</v>
      </c>
      <c r="V41" s="1569" t="s">
        <v>8</v>
      </c>
      <c r="W41" s="1570">
        <f t="shared" si="14"/>
        <v>100</v>
      </c>
      <c r="X41" s="1563"/>
      <c r="Y41" s="3437"/>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37"/>
      <c r="Q42" s="1601" t="str">
        <f t="shared" si="11"/>
        <v>单套建筑面积</v>
      </c>
      <c r="R42" s="1573" t="s">
        <v>8</v>
      </c>
      <c r="S42" s="1574">
        <f t="shared" si="12"/>
        <v>100</v>
      </c>
      <c r="T42" s="1573" t="s">
        <v>8</v>
      </c>
      <c r="U42" s="1574">
        <f t="shared" si="13"/>
        <v>100</v>
      </c>
      <c r="V42" s="1573" t="s">
        <v>8</v>
      </c>
      <c r="W42" s="1574">
        <f t="shared" si="14"/>
        <v>100</v>
      </c>
      <c r="X42" s="1575"/>
      <c r="Y42" s="3437"/>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37"/>
      <c r="Q43" s="1568" t="str">
        <f t="shared" si="11"/>
        <v>内部装修</v>
      </c>
      <c r="R43" s="1569" t="s">
        <v>8</v>
      </c>
      <c r="S43" s="1570">
        <f t="shared" si="12"/>
        <v>100</v>
      </c>
      <c r="T43" s="1569" t="s">
        <v>8</v>
      </c>
      <c r="U43" s="1570">
        <f t="shared" si="13"/>
        <v>100</v>
      </c>
      <c r="V43" s="1569" t="s">
        <v>8</v>
      </c>
      <c r="W43" s="1570">
        <f t="shared" si="14"/>
        <v>100</v>
      </c>
      <c r="X43" s="1563"/>
      <c r="Y43" s="3437"/>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37"/>
      <c r="Q44" s="1568" t="str">
        <f t="shared" si="11"/>
        <v>内部装修维护情况</v>
      </c>
      <c r="R44" s="1569" t="s">
        <v>8</v>
      </c>
      <c r="S44" s="1570">
        <f t="shared" si="12"/>
        <v>100</v>
      </c>
      <c r="T44" s="1569" t="s">
        <v>8</v>
      </c>
      <c r="U44" s="1570">
        <f t="shared" si="13"/>
        <v>100</v>
      </c>
      <c r="V44" s="1569" t="s">
        <v>8</v>
      </c>
      <c r="W44" s="1570">
        <f t="shared" si="14"/>
        <v>100</v>
      </c>
      <c r="X44" s="1563"/>
      <c r="Y44" s="3437"/>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37"/>
      <c r="Q45" s="1149">
        <f t="shared" si="11"/>
        <v>111</v>
      </c>
      <c r="R45" s="1564" t="s">
        <v>8</v>
      </c>
      <c r="S45" s="1565">
        <f t="shared" si="12"/>
        <v>100</v>
      </c>
      <c r="T45" s="1564" t="s">
        <v>8</v>
      </c>
      <c r="U45" s="1565">
        <f t="shared" si="13"/>
        <v>100</v>
      </c>
      <c r="V45" s="1564" t="s">
        <v>8</v>
      </c>
      <c r="W45" s="1565">
        <f t="shared" si="14"/>
        <v>100</v>
      </c>
      <c r="X45" s="1566"/>
      <c r="Y45" s="3437"/>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37"/>
      <c r="Q46" s="1568">
        <f t="shared" si="11"/>
        <v>111</v>
      </c>
      <c r="R46" s="1569" t="s">
        <v>8</v>
      </c>
      <c r="S46" s="1570">
        <f t="shared" si="12"/>
        <v>100</v>
      </c>
      <c r="T46" s="1569" t="s">
        <v>8</v>
      </c>
      <c r="U46" s="1570">
        <f t="shared" si="13"/>
        <v>100</v>
      </c>
      <c r="V46" s="1569" t="s">
        <v>8</v>
      </c>
      <c r="W46" s="1570">
        <f t="shared" si="14"/>
        <v>100</v>
      </c>
      <c r="X46" s="1563"/>
      <c r="Y46" s="3437"/>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0"/>
      <c r="Q47" s="1568">
        <f t="shared" si="11"/>
        <v>111</v>
      </c>
      <c r="R47" s="1569" t="s">
        <v>8</v>
      </c>
      <c r="S47" s="1570">
        <f t="shared" si="12"/>
        <v>100</v>
      </c>
      <c r="T47" s="1569" t="s">
        <v>8</v>
      </c>
      <c r="U47" s="1570">
        <f t="shared" si="13"/>
        <v>100</v>
      </c>
      <c r="V47" s="1569" t="s">
        <v>8</v>
      </c>
      <c r="W47" s="1570">
        <f t="shared" si="14"/>
        <v>100</v>
      </c>
      <c r="X47" s="1563"/>
      <c r="Y47" s="3510"/>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54" t="str">
        <f>A48</f>
        <v>成交单价（元/平方米）</v>
      </c>
      <c r="Q48" s="3432"/>
      <c r="R48" s="3511">
        <f>E48</f>
        <v>0</v>
      </c>
      <c r="S48" s="3511"/>
      <c r="T48" s="3511">
        <f>G48</f>
        <v>0</v>
      </c>
      <c r="U48" s="3511"/>
      <c r="V48" s="3511">
        <f>I48</f>
        <v>0</v>
      </c>
      <c r="W48" s="3511"/>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54" t="str">
        <f>A49</f>
        <v>比较价格（元/平方米）</v>
      </c>
      <c r="Q49" s="3432"/>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55"/>
      <c r="Y49" s="1555"/>
      <c r="Z49" s="1555"/>
      <c r="AA49" s="1555"/>
      <c r="AB49" s="1555"/>
      <c r="AC49" s="1555"/>
    </row>
    <row r="50" spans="1:29" ht="15.75" thickBot="1">
      <c r="A50" s="620" t="s">
        <v>2933</v>
      </c>
      <c r="B50" s="621"/>
      <c r="C50" s="2657" t="e">
        <f>R50</f>
        <v>#DIV/0!</v>
      </c>
      <c r="D50" s="2657"/>
      <c r="E50" s="2657"/>
      <c r="F50" s="2657"/>
      <c r="G50" s="2657"/>
      <c r="H50" s="2657"/>
      <c r="I50" s="2657"/>
      <c r="J50" s="2657"/>
      <c r="K50" s="1609"/>
      <c r="L50" s="2141"/>
      <c r="M50" s="2131"/>
      <c r="N50" s="2131"/>
      <c r="O50" s="2131"/>
      <c r="P50" s="3539" t="str">
        <f>A50</f>
        <v>估价对象XX用房的比较价格（楼面单价，元/平方米）</v>
      </c>
      <c r="Q50" s="3454"/>
      <c r="R50" s="3512" t="e">
        <f>IF(F1="售价",ROUND(AVERAGE(R49:V49),0),ROUND(AVERAGE(R49:V49),1))</f>
        <v>#DIV/0!</v>
      </c>
      <c r="S50" s="3512"/>
      <c r="T50" s="3512"/>
      <c r="U50" s="3512"/>
      <c r="V50" s="3512"/>
      <c r="W50" s="3512"/>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38" t="s">
        <v>518</v>
      </c>
      <c r="D4" s="3439"/>
      <c r="E4" s="3462" t="s">
        <v>519</v>
      </c>
      <c r="F4" s="3463"/>
      <c r="G4" s="3438" t="s">
        <v>520</v>
      </c>
      <c r="H4" s="3439"/>
      <c r="I4" s="3438" t="s">
        <v>521</v>
      </c>
      <c r="J4" s="3439"/>
      <c r="K4" s="513" t="s">
        <v>522</v>
      </c>
      <c r="L4" s="2130"/>
      <c r="M4" s="2131"/>
      <c r="N4" s="2131"/>
      <c r="O4" s="2131"/>
      <c r="P4" s="3440" t="s">
        <v>523</v>
      </c>
      <c r="Q4" s="3441"/>
      <c r="R4" s="3426" t="s">
        <v>519</v>
      </c>
      <c r="S4" s="3427"/>
      <c r="T4" s="3426" t="s">
        <v>520</v>
      </c>
      <c r="U4" s="3427"/>
      <c r="V4" s="3446" t="s">
        <v>521</v>
      </c>
      <c r="W4" s="3446"/>
      <c r="X4" s="1563"/>
      <c r="Y4" s="3426" t="s">
        <v>523</v>
      </c>
      <c r="Z4" s="3427"/>
      <c r="AA4" s="3421" t="s">
        <v>519</v>
      </c>
      <c r="AB4" s="3422" t="s">
        <v>520</v>
      </c>
      <c r="AC4" s="3421" t="s">
        <v>521</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4" t="s">
        <v>526</v>
      </c>
      <c r="Q7" s="3433"/>
      <c r="R7" s="1564" t="s">
        <v>8</v>
      </c>
      <c r="S7" s="1565">
        <f t="shared" ref="S7:S15" si="0">F7</f>
        <v>0</v>
      </c>
      <c r="T7" s="1564" t="s">
        <v>8</v>
      </c>
      <c r="U7" s="1565">
        <f t="shared" ref="U7:U15" si="1">H7</f>
        <v>0</v>
      </c>
      <c r="V7" s="1564" t="s">
        <v>8</v>
      </c>
      <c r="W7" s="1565">
        <f t="shared" ref="W7:W15"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2" t="s">
        <v>531</v>
      </c>
      <c r="Q9" s="1149" t="str">
        <f t="shared" ref="Q9:Q15" si="6">B9</f>
        <v>用途</v>
      </c>
      <c r="R9" s="1564" t="s">
        <v>8</v>
      </c>
      <c r="S9" s="1565">
        <f t="shared" si="0"/>
        <v>100</v>
      </c>
      <c r="T9" s="1564" t="s">
        <v>8</v>
      </c>
      <c r="U9" s="1565">
        <f t="shared" si="1"/>
        <v>100</v>
      </c>
      <c r="V9" s="1564" t="s">
        <v>8</v>
      </c>
      <c r="W9" s="1565">
        <f t="shared" si="2"/>
        <v>100</v>
      </c>
      <c r="X9" s="1566"/>
      <c r="Y9" s="3389"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2"/>
      <c r="Q11" s="1149" t="str">
        <f t="shared" si="6"/>
        <v>容积率</v>
      </c>
      <c r="R11" s="1564" t="s">
        <v>8</v>
      </c>
      <c r="S11" s="1565" t="e">
        <f t="shared" si="0"/>
        <v>#N/A</v>
      </c>
      <c r="T11" s="1564" t="s">
        <v>8</v>
      </c>
      <c r="U11" s="1565" t="e">
        <f t="shared" si="1"/>
        <v>#N/A</v>
      </c>
      <c r="V11" s="1564" t="s">
        <v>8</v>
      </c>
      <c r="W11" s="1565" t="e">
        <f t="shared" si="2"/>
        <v>#N/A</v>
      </c>
      <c r="X11" s="1566"/>
      <c r="Y11" s="3389"/>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2"/>
      <c r="Q14" s="1149">
        <f t="shared" si="6"/>
        <v>111</v>
      </c>
      <c r="R14" s="1564" t="s">
        <v>8</v>
      </c>
      <c r="S14" s="1565">
        <f t="shared" si="0"/>
        <v>100</v>
      </c>
      <c r="T14" s="1564" t="s">
        <v>8</v>
      </c>
      <c r="U14" s="1565">
        <f t="shared" si="1"/>
        <v>100</v>
      </c>
      <c r="V14" s="1564" t="s">
        <v>8</v>
      </c>
      <c r="W14" s="1565">
        <f t="shared" si="2"/>
        <v>100</v>
      </c>
      <c r="X14" s="1566"/>
      <c r="Y14" s="3389"/>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4" t="s">
        <v>536</v>
      </c>
      <c r="Q15" s="1568" t="str">
        <f t="shared" si="6"/>
        <v>产业集聚程度</v>
      </c>
      <c r="R15" s="1569" t="s">
        <v>8</v>
      </c>
      <c r="S15" s="1570">
        <f t="shared" si="0"/>
        <v>100</v>
      </c>
      <c r="T15" s="1569" t="s">
        <v>8</v>
      </c>
      <c r="U15" s="1570">
        <f t="shared" si="1"/>
        <v>100</v>
      </c>
      <c r="V15" s="1569" t="s">
        <v>8</v>
      </c>
      <c r="W15" s="1570">
        <f t="shared" si="2"/>
        <v>100</v>
      </c>
      <c r="X15" s="1563"/>
      <c r="Y15" s="3434"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5"/>
      <c r="Q16" s="1568"/>
      <c r="R16" s="1569"/>
      <c r="S16" s="1570"/>
      <c r="T16" s="1569"/>
      <c r="U16" s="1570"/>
      <c r="V16" s="1569"/>
      <c r="W16" s="1570"/>
      <c r="X16" s="1563"/>
      <c r="Y16" s="3435"/>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5"/>
      <c r="Q17" s="1568" t="str">
        <f>B17</f>
        <v>交通便捷度</v>
      </c>
      <c r="R17" s="1569" t="s">
        <v>8</v>
      </c>
      <c r="S17" s="1570">
        <f>F17</f>
        <v>100</v>
      </c>
      <c r="T17" s="1569" t="s">
        <v>8</v>
      </c>
      <c r="U17" s="1570">
        <f>H17</f>
        <v>100</v>
      </c>
      <c r="V17" s="1569" t="s">
        <v>8</v>
      </c>
      <c r="W17" s="1570">
        <f>J17</f>
        <v>100</v>
      </c>
      <c r="X17" s="1563"/>
      <c r="Y17" s="3435"/>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5"/>
      <c r="Q18" s="1568"/>
      <c r="R18" s="1569"/>
      <c r="S18" s="1570"/>
      <c r="T18" s="1569"/>
      <c r="U18" s="1570"/>
      <c r="V18" s="1569"/>
      <c r="W18" s="1570"/>
      <c r="X18" s="1563"/>
      <c r="Y18" s="3435"/>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5"/>
      <c r="Q19" s="1568" t="str">
        <f>B19</f>
        <v>公共配套设施</v>
      </c>
      <c r="R19" s="1569" t="s">
        <v>8</v>
      </c>
      <c r="S19" s="1570">
        <f>F19</f>
        <v>100</v>
      </c>
      <c r="T19" s="1569" t="s">
        <v>8</v>
      </c>
      <c r="U19" s="1570">
        <f>H19</f>
        <v>100</v>
      </c>
      <c r="V19" s="1569" t="s">
        <v>8</v>
      </c>
      <c r="W19" s="1570">
        <f>J19</f>
        <v>100</v>
      </c>
      <c r="X19" s="1563"/>
      <c r="Y19" s="3435"/>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35"/>
      <c r="Q20" s="1568"/>
      <c r="R20" s="1569"/>
      <c r="S20" s="1570"/>
      <c r="T20" s="1569"/>
      <c r="U20" s="1570"/>
      <c r="V20" s="1569"/>
      <c r="W20" s="1570"/>
      <c r="X20" s="1563"/>
      <c r="Y20" s="3435"/>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5"/>
      <c r="Q21" s="2600" t="str">
        <f>B21</f>
        <v>基础设施水平</v>
      </c>
      <c r="R21" s="1569" t="s">
        <v>8</v>
      </c>
      <c r="S21" s="1570">
        <f>F21</f>
        <v>100</v>
      </c>
      <c r="T21" s="1569" t="s">
        <v>8</v>
      </c>
      <c r="U21" s="1570">
        <f>H21</f>
        <v>100</v>
      </c>
      <c r="V21" s="1569" t="s">
        <v>8</v>
      </c>
      <c r="W21" s="1570">
        <f>J21</f>
        <v>100</v>
      </c>
      <c r="X21" s="2602"/>
      <c r="Y21" s="3435"/>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35"/>
      <c r="Q22" s="2600"/>
      <c r="R22" s="1569"/>
      <c r="S22" s="1570"/>
      <c r="T22" s="1569"/>
      <c r="U22" s="1570"/>
      <c r="V22" s="1569"/>
      <c r="W22" s="1570"/>
      <c r="X22" s="2602"/>
      <c r="Y22" s="3435"/>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5"/>
      <c r="Q23" s="1568" t="str">
        <f>B23</f>
        <v>环境质量</v>
      </c>
      <c r="R23" s="1569" t="s">
        <v>8</v>
      </c>
      <c r="S23" s="1570">
        <f>F23</f>
        <v>100</v>
      </c>
      <c r="T23" s="1569" t="s">
        <v>8</v>
      </c>
      <c r="U23" s="1570">
        <f>H23</f>
        <v>100</v>
      </c>
      <c r="V23" s="1569" t="s">
        <v>8</v>
      </c>
      <c r="W23" s="1570">
        <f>J23</f>
        <v>100</v>
      </c>
      <c r="X23" s="1563"/>
      <c r="Y23" s="3435"/>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35"/>
      <c r="Q24" s="1568"/>
      <c r="R24" s="1569"/>
      <c r="S24" s="1570"/>
      <c r="T24" s="1569"/>
      <c r="U24" s="1570"/>
      <c r="V24" s="1569"/>
      <c r="W24" s="1570"/>
      <c r="X24" s="1563"/>
      <c r="Y24" s="3435"/>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5"/>
      <c r="Q25" s="1568">
        <f>B25</f>
        <v>111</v>
      </c>
      <c r="R25" s="1569" t="s">
        <v>8</v>
      </c>
      <c r="S25" s="1570">
        <f>F25</f>
        <v>100</v>
      </c>
      <c r="T25" s="1569" t="s">
        <v>8</v>
      </c>
      <c r="U25" s="1570">
        <f>H25</f>
        <v>100</v>
      </c>
      <c r="V25" s="1569" t="s">
        <v>8</v>
      </c>
      <c r="W25" s="1570">
        <f>J25</f>
        <v>100</v>
      </c>
      <c r="X25" s="1563"/>
      <c r="Y25" s="3435"/>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5"/>
      <c r="Q26" s="1568">
        <f t="shared" ref="Q26:Q40" si="11">B26</f>
        <v>111</v>
      </c>
      <c r="R26" s="1569" t="s">
        <v>8</v>
      </c>
      <c r="S26" s="1570">
        <f>F26</f>
        <v>100</v>
      </c>
      <c r="T26" s="1569" t="s">
        <v>8</v>
      </c>
      <c r="U26" s="1570">
        <f>H26</f>
        <v>100</v>
      </c>
      <c r="V26" s="1569" t="s">
        <v>8</v>
      </c>
      <c r="W26" s="1570">
        <f>J26</f>
        <v>100</v>
      </c>
      <c r="X26" s="1563"/>
      <c r="Y26" s="3435"/>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5"/>
      <c r="Q27" s="1149">
        <f t="shared" si="11"/>
        <v>111</v>
      </c>
      <c r="R27" s="1564" t="s">
        <v>8</v>
      </c>
      <c r="S27" s="1565">
        <f>F27</f>
        <v>100</v>
      </c>
      <c r="T27" s="1564" t="s">
        <v>8</v>
      </c>
      <c r="U27" s="1565">
        <f>H27</f>
        <v>100</v>
      </c>
      <c r="V27" s="1564" t="s">
        <v>8</v>
      </c>
      <c r="W27" s="1565">
        <f>J27</f>
        <v>100</v>
      </c>
      <c r="X27" s="1566"/>
      <c r="Y27" s="3435"/>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5"/>
      <c r="Q28" s="1568">
        <f t="shared" si="11"/>
        <v>111</v>
      </c>
      <c r="R28" s="1569" t="s">
        <v>8</v>
      </c>
      <c r="S28" s="1570">
        <f t="shared" ref="S28:S40" si="12">F28</f>
        <v>100</v>
      </c>
      <c r="T28" s="1569" t="s">
        <v>8</v>
      </c>
      <c r="U28" s="1570">
        <f t="shared" ref="U28:U40" si="13">H28</f>
        <v>100</v>
      </c>
      <c r="V28" s="1569" t="s">
        <v>8</v>
      </c>
      <c r="W28" s="1570">
        <f t="shared" ref="W28:W40" si="14">J28</f>
        <v>100</v>
      </c>
      <c r="X28" s="1563"/>
      <c r="Y28" s="3435"/>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6" t="s">
        <v>546</v>
      </c>
      <c r="Q29" s="1568" t="str">
        <f t="shared" si="11"/>
        <v>建筑类型</v>
      </c>
      <c r="R29" s="1569" t="s">
        <v>8</v>
      </c>
      <c r="S29" s="1570">
        <f t="shared" si="12"/>
        <v>100</v>
      </c>
      <c r="T29" s="1569" t="s">
        <v>8</v>
      </c>
      <c r="U29" s="1570">
        <f t="shared" si="13"/>
        <v>100</v>
      </c>
      <c r="V29" s="1569" t="s">
        <v>8</v>
      </c>
      <c r="W29" s="1570">
        <f t="shared" si="14"/>
        <v>100</v>
      </c>
      <c r="X29" s="1563"/>
      <c r="Y29" s="3437"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37"/>
      <c r="Q30" s="1601" t="str">
        <f t="shared" si="11"/>
        <v>项目建筑规模</v>
      </c>
      <c r="R30" s="1573" t="s">
        <v>8</v>
      </c>
      <c r="S30" s="1574" t="e">
        <f t="shared" si="12"/>
        <v>#N/A</v>
      </c>
      <c r="T30" s="1573" t="s">
        <v>8</v>
      </c>
      <c r="U30" s="1574" t="e">
        <f t="shared" si="13"/>
        <v>#N/A</v>
      </c>
      <c r="V30" s="1573" t="s">
        <v>8</v>
      </c>
      <c r="W30" s="1574" t="e">
        <f t="shared" si="14"/>
        <v>#N/A</v>
      </c>
      <c r="X30" s="1575"/>
      <c r="Y30" s="3437"/>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37"/>
      <c r="Q31" s="1568" t="str">
        <f t="shared" si="11"/>
        <v>建筑结构</v>
      </c>
      <c r="R31" s="1569" t="s">
        <v>8</v>
      </c>
      <c r="S31" s="1570">
        <f t="shared" si="12"/>
        <v>100</v>
      </c>
      <c r="T31" s="1569" t="s">
        <v>8</v>
      </c>
      <c r="U31" s="1570">
        <f t="shared" si="13"/>
        <v>100</v>
      </c>
      <c r="V31" s="1569" t="s">
        <v>8</v>
      </c>
      <c r="W31" s="1570">
        <f t="shared" si="14"/>
        <v>100</v>
      </c>
      <c r="X31" s="1563"/>
      <c r="Y31" s="3437"/>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37"/>
      <c r="Q32" s="1568" t="str">
        <f t="shared" si="11"/>
        <v>公共部分装修</v>
      </c>
      <c r="R32" s="1569" t="s">
        <v>8</v>
      </c>
      <c r="S32" s="1570">
        <f t="shared" si="12"/>
        <v>100</v>
      </c>
      <c r="T32" s="1569" t="s">
        <v>8</v>
      </c>
      <c r="U32" s="1570">
        <f t="shared" si="13"/>
        <v>100</v>
      </c>
      <c r="V32" s="1569" t="s">
        <v>8</v>
      </c>
      <c r="W32" s="1570">
        <f t="shared" si="14"/>
        <v>100</v>
      </c>
      <c r="X32" s="1563"/>
      <c r="Y32" s="3437"/>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37"/>
      <c r="Q33" s="1568" t="str">
        <f t="shared" si="11"/>
        <v>成新度</v>
      </c>
      <c r="R33" s="1569" t="s">
        <v>8</v>
      </c>
      <c r="S33" s="1570" t="e">
        <f t="shared" si="12"/>
        <v>#N/A</v>
      </c>
      <c r="T33" s="1569" t="s">
        <v>8</v>
      </c>
      <c r="U33" s="1570" t="e">
        <f t="shared" si="13"/>
        <v>#N/A</v>
      </c>
      <c r="V33" s="1569" t="s">
        <v>8</v>
      </c>
      <c r="W33" s="1570" t="e">
        <f t="shared" si="14"/>
        <v>#N/A</v>
      </c>
      <c r="X33" s="1563"/>
      <c r="Y33" s="3437"/>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37"/>
      <c r="Q34" s="1149" t="str">
        <f t="shared" si="11"/>
        <v>物业管理</v>
      </c>
      <c r="R34" s="1564" t="s">
        <v>8</v>
      </c>
      <c r="S34" s="1565">
        <f t="shared" si="12"/>
        <v>100</v>
      </c>
      <c r="T34" s="1564" t="s">
        <v>8</v>
      </c>
      <c r="U34" s="1565">
        <f t="shared" si="13"/>
        <v>100</v>
      </c>
      <c r="V34" s="1564" t="s">
        <v>8</v>
      </c>
      <c r="W34" s="1565">
        <f t="shared" si="14"/>
        <v>100</v>
      </c>
      <c r="X34" s="1566"/>
      <c r="Y34" s="3437"/>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37" t="s">
        <v>546</v>
      </c>
      <c r="Q35" s="1568" t="str">
        <f t="shared" si="11"/>
        <v>市政基础设施</v>
      </c>
      <c r="R35" s="1569" t="s">
        <v>8</v>
      </c>
      <c r="S35" s="1570">
        <f t="shared" si="12"/>
        <v>100</v>
      </c>
      <c r="T35" s="1569" t="s">
        <v>8</v>
      </c>
      <c r="U35" s="1570">
        <f t="shared" si="13"/>
        <v>100</v>
      </c>
      <c r="V35" s="1569" t="s">
        <v>8</v>
      </c>
      <c r="W35" s="1570">
        <f t="shared" si="14"/>
        <v>100</v>
      </c>
      <c r="X35" s="1563"/>
      <c r="Y35" s="3437"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37"/>
      <c r="Q36" s="1568" t="str">
        <f t="shared" si="11"/>
        <v>内部装修</v>
      </c>
      <c r="R36" s="1569" t="s">
        <v>8</v>
      </c>
      <c r="S36" s="1570">
        <f t="shared" si="12"/>
        <v>100</v>
      </c>
      <c r="T36" s="1569" t="s">
        <v>8</v>
      </c>
      <c r="U36" s="1570">
        <f t="shared" si="13"/>
        <v>100</v>
      </c>
      <c r="V36" s="1569" t="s">
        <v>8</v>
      </c>
      <c r="W36" s="1570">
        <f t="shared" si="14"/>
        <v>100</v>
      </c>
      <c r="X36" s="1563"/>
      <c r="Y36" s="3437"/>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37"/>
      <c r="Q37" s="1568" t="str">
        <f t="shared" si="11"/>
        <v>内部装修状况</v>
      </c>
      <c r="R37" s="1569" t="s">
        <v>8</v>
      </c>
      <c r="S37" s="1570">
        <f t="shared" si="12"/>
        <v>100</v>
      </c>
      <c r="T37" s="1569" t="s">
        <v>8</v>
      </c>
      <c r="U37" s="1570">
        <f t="shared" si="13"/>
        <v>100</v>
      </c>
      <c r="V37" s="1569" t="s">
        <v>8</v>
      </c>
      <c r="W37" s="1570">
        <f t="shared" si="14"/>
        <v>100</v>
      </c>
      <c r="X37" s="1563"/>
      <c r="Y37" s="3437"/>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37"/>
      <c r="Q38" s="1601">
        <f t="shared" si="11"/>
        <v>111</v>
      </c>
      <c r="R38" s="1573" t="s">
        <v>8</v>
      </c>
      <c r="S38" s="1574">
        <f t="shared" si="12"/>
        <v>100</v>
      </c>
      <c r="T38" s="1573" t="s">
        <v>8</v>
      </c>
      <c r="U38" s="1574">
        <f t="shared" si="13"/>
        <v>100</v>
      </c>
      <c r="V38" s="1573" t="s">
        <v>8</v>
      </c>
      <c r="W38" s="1574">
        <f t="shared" si="14"/>
        <v>100</v>
      </c>
      <c r="X38" s="1575"/>
      <c r="Y38" s="3437"/>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37"/>
      <c r="Q39" s="1568">
        <f t="shared" si="11"/>
        <v>111</v>
      </c>
      <c r="R39" s="1569" t="s">
        <v>8</v>
      </c>
      <c r="S39" s="1570">
        <f t="shared" si="12"/>
        <v>100</v>
      </c>
      <c r="T39" s="1569" t="s">
        <v>8</v>
      </c>
      <c r="U39" s="1570">
        <f t="shared" si="13"/>
        <v>100</v>
      </c>
      <c r="V39" s="1569" t="s">
        <v>8</v>
      </c>
      <c r="W39" s="1570">
        <f t="shared" si="14"/>
        <v>100</v>
      </c>
      <c r="X39" s="1563"/>
      <c r="Y39" s="3437"/>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0"/>
      <c r="Q40" s="1568">
        <f t="shared" si="11"/>
        <v>111</v>
      </c>
      <c r="R40" s="1569" t="s">
        <v>8</v>
      </c>
      <c r="S40" s="1570">
        <f t="shared" si="12"/>
        <v>100</v>
      </c>
      <c r="T40" s="1569" t="s">
        <v>8</v>
      </c>
      <c r="U40" s="1570">
        <f t="shared" si="13"/>
        <v>100</v>
      </c>
      <c r="V40" s="1569" t="s">
        <v>8</v>
      </c>
      <c r="W40" s="1570">
        <f t="shared" si="14"/>
        <v>100</v>
      </c>
      <c r="X40" s="1563"/>
      <c r="Y40" s="3510"/>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32" t="str">
        <f>A41</f>
        <v>成交单价（元/平方米）</v>
      </c>
      <c r="Q41" s="3432"/>
      <c r="R41" s="3511">
        <f>E41</f>
        <v>0</v>
      </c>
      <c r="S41" s="3511"/>
      <c r="T41" s="3511">
        <f>G41</f>
        <v>0</v>
      </c>
      <c r="U41" s="3511"/>
      <c r="V41" s="3511">
        <f>I41</f>
        <v>0</v>
      </c>
      <c r="W41" s="3511"/>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32" t="str">
        <f>A42</f>
        <v>比较价格（元/平方米）</v>
      </c>
      <c r="Q42" s="3432"/>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55"/>
      <c r="Y42" s="1555"/>
      <c r="Z42" s="1555"/>
      <c r="AA42" s="1555"/>
      <c r="AB42" s="1555"/>
      <c r="AC42" s="1555"/>
    </row>
    <row r="43" spans="1:29" ht="15.75" thickBot="1">
      <c r="A43" s="620" t="s">
        <v>2933</v>
      </c>
      <c r="B43" s="621"/>
      <c r="C43" s="2657" t="e">
        <f>R43</f>
        <v>#DIV/0!</v>
      </c>
      <c r="D43" s="2657"/>
      <c r="E43" s="2657"/>
      <c r="F43" s="2657"/>
      <c r="G43" s="2657"/>
      <c r="H43" s="2657"/>
      <c r="I43" s="2657"/>
      <c r="J43" s="2657"/>
      <c r="K43" s="1609"/>
      <c r="L43" s="2141"/>
      <c r="M43" s="2142"/>
      <c r="N43" s="2142"/>
      <c r="O43" s="2142"/>
      <c r="P43" s="3453" t="str">
        <f>A43</f>
        <v>估价对象XX用房的比较价格（楼面单价，元/平方米）</v>
      </c>
      <c r="Q43" s="3454"/>
      <c r="R43" s="3512" t="e">
        <f>IF(F1="售价",ROUND(AVERAGE(R42:V42),0),ROUND(AVERAGE(R42:V42),1))</f>
        <v>#DIV/0!</v>
      </c>
      <c r="S43" s="3512"/>
      <c r="T43" s="3512"/>
      <c r="U43" s="3512"/>
      <c r="V43" s="3512"/>
      <c r="W43" s="3512"/>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3071</v>
      </c>
      <c r="C1" s="503" t="s">
        <v>788</v>
      </c>
      <c r="D1" s="848" t="s">
        <v>35</v>
      </c>
      <c r="E1" s="505"/>
      <c r="F1" s="2828" t="s">
        <v>3120</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38" t="s">
        <v>795</v>
      </c>
      <c r="F4" s="3439"/>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509" t="s">
        <v>3124</v>
      </c>
      <c r="F5" s="3450"/>
      <c r="G5" s="3509" t="s">
        <v>3125</v>
      </c>
      <c r="H5" s="3450"/>
      <c r="I5" s="3509" t="s">
        <v>3126</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51" t="s">
        <v>2931</v>
      </c>
      <c r="F6" s="3452"/>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24" t="s">
        <v>526</v>
      </c>
      <c r="Q7" s="3433"/>
      <c r="R7" s="1564" t="s">
        <v>8</v>
      </c>
      <c r="S7" s="1565">
        <f t="shared" ref="S7:S14" si="0">F7</f>
        <v>100</v>
      </c>
      <c r="T7" s="1564" t="s">
        <v>8</v>
      </c>
      <c r="U7" s="1565">
        <f t="shared" ref="U7:U14" si="1">H7</f>
        <v>99.5</v>
      </c>
      <c r="V7" s="1564" t="s">
        <v>8</v>
      </c>
      <c r="W7" s="1565">
        <f t="shared" ref="W7:W14" si="2">J7</f>
        <v>100</v>
      </c>
      <c r="X7" s="1566"/>
      <c r="Y7" s="3424" t="s">
        <v>526</v>
      </c>
      <c r="Z7" s="3425"/>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4" t="s">
        <v>529</v>
      </c>
      <c r="Q8" s="3425"/>
      <c r="R8" s="1564" t="s">
        <v>8</v>
      </c>
      <c r="S8" s="1565">
        <f t="shared" si="0"/>
        <v>100</v>
      </c>
      <c r="T8" s="1564" t="s">
        <v>8</v>
      </c>
      <c r="U8" s="1565">
        <f t="shared" si="1"/>
        <v>100</v>
      </c>
      <c r="V8" s="1564" t="s">
        <v>8</v>
      </c>
      <c r="W8" s="1565">
        <f t="shared" si="2"/>
        <v>100</v>
      </c>
      <c r="X8" s="1566"/>
      <c r="Y8" s="3424" t="s">
        <v>529</v>
      </c>
      <c r="Z8" s="3425"/>
      <c r="AA8" s="1567">
        <f t="shared" ref="AA8:AA36" si="3">D8/F8</f>
        <v>1</v>
      </c>
      <c r="AB8" s="1567">
        <f t="shared" ref="AB8:AB36" si="4">D8/H8</f>
        <v>1</v>
      </c>
      <c r="AC8" s="1567">
        <f t="shared" ref="AC8:AC36" si="5">D8/J8</f>
        <v>1</v>
      </c>
    </row>
    <row r="9" spans="1:29" s="1218" customFormat="1" ht="15">
      <c r="A9" s="2935"/>
      <c r="B9" s="2942" t="s">
        <v>2756</v>
      </c>
      <c r="C9" s="3234" t="s">
        <v>3121</v>
      </c>
      <c r="D9" s="253">
        <v>100</v>
      </c>
      <c r="E9" s="859" t="s">
        <v>3071</v>
      </c>
      <c r="F9" s="253">
        <f>SUMIF(53:53,E9,54:54)-SUMIF(53:53,C9,54:54)+100</f>
        <v>100</v>
      </c>
      <c r="G9" s="859" t="s">
        <v>3071</v>
      </c>
      <c r="H9" s="253">
        <f>SUMIF(53:53,G9,54:54)-SUMIF(53:53,C9,54:54)+100</f>
        <v>100</v>
      </c>
      <c r="I9" s="859" t="s">
        <v>3071</v>
      </c>
      <c r="J9" s="253">
        <f>SUMIF(53:53,I9,54:54)-SUMIF(53:53,C9,54:54)+100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t="s">
        <v>3122</v>
      </c>
      <c r="D10" s="254">
        <v>100</v>
      </c>
      <c r="E10" s="860" t="s">
        <v>3122</v>
      </c>
      <c r="F10" s="254">
        <f>SUMIF(55:55,E10,56:56)-SUMIF(55:55,C10,56:56)+100</f>
        <v>100</v>
      </c>
      <c r="G10" s="860" t="s">
        <v>3122</v>
      </c>
      <c r="H10" s="254">
        <f>SUMIF(55:55,G10,56:56)-SUMIF(55:55,C10,56:56)+100</f>
        <v>100</v>
      </c>
      <c r="I10" s="860" t="s">
        <v>3122</v>
      </c>
      <c r="J10" s="254">
        <f>SUMIF(55:55,I10,56:56)-SUMIF(55:55,C10,56:56)+100</f>
        <v>100</v>
      </c>
      <c r="K10" s="583">
        <v>1</v>
      </c>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3123</v>
      </c>
      <c r="F14" s="550">
        <f>SUMIF(63:63,E15,64:64)-SUMIF(63:63,C15,64:64)+100</f>
        <v>102</v>
      </c>
      <c r="G14" s="3235" t="s">
        <v>3123</v>
      </c>
      <c r="H14" s="548">
        <f>SUMIF(63:63,G15,64:64)-SUMIF(63:63,C15,64:64)+100</f>
        <v>102</v>
      </c>
      <c r="I14" s="549"/>
      <c r="J14" s="548">
        <f>SUMIF(63:63,I15,64:64)-SUMIF(63:63,C15,64:64)+100</f>
        <v>100</v>
      </c>
      <c r="K14" s="896">
        <f>'比较法-住宅、综合'!K23</f>
        <v>2</v>
      </c>
      <c r="L14" s="2139"/>
      <c r="M14" s="2131"/>
      <c r="N14" s="2131"/>
      <c r="O14" s="2138"/>
      <c r="P14" s="3434" t="s">
        <v>536</v>
      </c>
      <c r="Q14" s="1568" t="str">
        <f t="shared" si="6"/>
        <v>交通便捷度</v>
      </c>
      <c r="R14" s="1569" t="s">
        <v>8</v>
      </c>
      <c r="S14" s="1570">
        <f t="shared" si="0"/>
        <v>102</v>
      </c>
      <c r="T14" s="1569" t="s">
        <v>8</v>
      </c>
      <c r="U14" s="1570">
        <f t="shared" si="1"/>
        <v>102</v>
      </c>
      <c r="V14" s="1569" t="s">
        <v>8</v>
      </c>
      <c r="W14" s="1570">
        <f t="shared" si="2"/>
        <v>100</v>
      </c>
      <c r="X14" s="1563"/>
      <c r="Y14" s="3434" t="s">
        <v>536</v>
      </c>
      <c r="Z14" s="1571" t="str">
        <f t="shared" si="7"/>
        <v>交通便捷度</v>
      </c>
      <c r="AA14" s="1572">
        <f t="shared" si="3"/>
        <v>0.98039215686274506</v>
      </c>
      <c r="AB14" s="1572">
        <f t="shared" si="4"/>
        <v>0.98039215686274506</v>
      </c>
      <c r="AC14" s="1572">
        <f t="shared" si="5"/>
        <v>1</v>
      </c>
    </row>
    <row r="15" spans="1:29" ht="15">
      <c r="A15" s="514"/>
      <c r="B15" s="922"/>
      <c r="C15" s="575" t="s">
        <v>3092</v>
      </c>
      <c r="D15" s="554"/>
      <c r="E15" s="575" t="s">
        <v>3094</v>
      </c>
      <c r="F15" s="556"/>
      <c r="G15" s="575" t="s">
        <v>3094</v>
      </c>
      <c r="H15" s="558"/>
      <c r="I15" s="575" t="s">
        <v>3092</v>
      </c>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14"/>
      <c r="B17" s="565"/>
      <c r="C17" s="872" t="s">
        <v>3092</v>
      </c>
      <c r="D17" s="554"/>
      <c r="E17" s="872" t="s">
        <v>3092</v>
      </c>
      <c r="F17" s="556"/>
      <c r="G17" s="575" t="s">
        <v>3092</v>
      </c>
      <c r="H17" s="554"/>
      <c r="I17" s="575" t="s">
        <v>3092</v>
      </c>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14"/>
      <c r="B19" s="577"/>
      <c r="C19" s="872" t="s">
        <v>3097</v>
      </c>
      <c r="D19" s="558"/>
      <c r="E19" s="872" t="s">
        <v>3097</v>
      </c>
      <c r="F19" s="556"/>
      <c r="G19" s="872" t="s">
        <v>3097</v>
      </c>
      <c r="H19" s="554"/>
      <c r="I19" s="872" t="s">
        <v>3097</v>
      </c>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35"/>
      <c r="Q20" s="1568" t="str">
        <f>B20</f>
        <v>自然及人文环境</v>
      </c>
      <c r="R20" s="1569" t="s">
        <v>8</v>
      </c>
      <c r="S20" s="1570">
        <f>F20</f>
        <v>98</v>
      </c>
      <c r="T20" s="1569" t="s">
        <v>8</v>
      </c>
      <c r="U20" s="1570">
        <f>H20</f>
        <v>98</v>
      </c>
      <c r="V20" s="1569" t="s">
        <v>8</v>
      </c>
      <c r="W20" s="1570">
        <f>J20</f>
        <v>100</v>
      </c>
      <c r="X20" s="1563"/>
      <c r="Y20" s="3435"/>
      <c r="Z20" s="1571" t="str">
        <f>Q20</f>
        <v>自然及人文环境</v>
      </c>
      <c r="AA20" s="1572">
        <f t="shared" si="3"/>
        <v>1.0204081632653061</v>
      </c>
      <c r="AB20" s="1572">
        <f t="shared" si="4"/>
        <v>1.0204081632653061</v>
      </c>
      <c r="AC20" s="1572">
        <f t="shared" si="5"/>
        <v>1</v>
      </c>
    </row>
    <row r="21" spans="1:29" ht="15">
      <c r="A21" s="514"/>
      <c r="B21" s="565"/>
      <c r="C21" s="575" t="s">
        <v>3094</v>
      </c>
      <c r="D21" s="554"/>
      <c r="E21" s="575" t="s">
        <v>3092</v>
      </c>
      <c r="F21" s="556"/>
      <c r="G21" s="575" t="s">
        <v>3092</v>
      </c>
      <c r="H21" s="554"/>
      <c r="I21" s="575" t="s">
        <v>3094</v>
      </c>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5"/>
      <c r="Q23" s="1568">
        <f>B23</f>
        <v>0</v>
      </c>
      <c r="R23" s="1569" t="s">
        <v>8</v>
      </c>
      <c r="S23" s="1570">
        <f>F23</f>
        <v>100</v>
      </c>
      <c r="T23" s="1569" t="s">
        <v>8</v>
      </c>
      <c r="U23" s="1570">
        <f>H23</f>
        <v>100</v>
      </c>
      <c r="V23" s="1569" t="s">
        <v>8</v>
      </c>
      <c r="W23" s="1570">
        <f>J23</f>
        <v>100</v>
      </c>
      <c r="X23" s="1563"/>
      <c r="Y23" s="3435"/>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5"/>
      <c r="Q24" s="1568">
        <f t="shared" ref="Q24:Q36" si="11">B24</f>
        <v>0</v>
      </c>
      <c r="R24" s="1569" t="s">
        <v>8</v>
      </c>
      <c r="S24" s="1570">
        <f>F24</f>
        <v>100</v>
      </c>
      <c r="T24" s="1569" t="s">
        <v>8</v>
      </c>
      <c r="U24" s="1570">
        <f>H24</f>
        <v>100</v>
      </c>
      <c r="V24" s="1569" t="s">
        <v>8</v>
      </c>
      <c r="W24" s="1570">
        <f>J24</f>
        <v>100</v>
      </c>
      <c r="X24" s="1563"/>
      <c r="Y24" s="3435"/>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5"/>
      <c r="Q25" s="1149">
        <f t="shared" si="11"/>
        <v>0</v>
      </c>
      <c r="R25" s="1564" t="s">
        <v>8</v>
      </c>
      <c r="S25" s="1565">
        <f>F25</f>
        <v>100</v>
      </c>
      <c r="T25" s="1564" t="s">
        <v>8</v>
      </c>
      <c r="U25" s="1565">
        <f>H25</f>
        <v>100</v>
      </c>
      <c r="V25" s="1564" t="s">
        <v>8</v>
      </c>
      <c r="W25" s="1565">
        <f>J25</f>
        <v>100</v>
      </c>
      <c r="X25" s="1566"/>
      <c r="Y25" s="3435"/>
      <c r="Z25" s="1148">
        <f>Q25</f>
        <v>0</v>
      </c>
      <c r="AA25" s="1572">
        <f>D25/F25</f>
        <v>1</v>
      </c>
      <c r="AB25" s="1572">
        <f>D25/H25</f>
        <v>1</v>
      </c>
      <c r="AC25" s="1572">
        <f>D25/J25</f>
        <v>1</v>
      </c>
    </row>
    <row r="26" spans="1:29" ht="15">
      <c r="A26" s="2928" t="s">
        <v>2755</v>
      </c>
      <c r="B26" s="170" t="s">
        <v>802</v>
      </c>
      <c r="C26" s="926" t="str">
        <f>B1</f>
        <v>车库</v>
      </c>
      <c r="D26" s="554">
        <v>100</v>
      </c>
      <c r="E26" s="575" t="s">
        <v>3071</v>
      </c>
      <c r="F26" s="556">
        <f>SUMIF(79:79,E26,80:80)-SUMIF(79:79,C26,80:80)+100</f>
        <v>100</v>
      </c>
      <c r="G26" s="575" t="s">
        <v>3071</v>
      </c>
      <c r="H26" s="554">
        <f>SUMIF(79:79,G26,80:80)-SUMIF(79:79,C26,80:80)+100</f>
        <v>100</v>
      </c>
      <c r="I26" s="575" t="s">
        <v>3071</v>
      </c>
      <c r="J26" s="554">
        <f>SUMIF(79:79,I26,80:80)-SUMIF(79:79,C26,80:80)+100</f>
        <v>100</v>
      </c>
      <c r="K26" s="583"/>
      <c r="L26" s="2139"/>
      <c r="M26" s="2131"/>
      <c r="N26" s="2131"/>
      <c r="O26" s="2138"/>
      <c r="P26" s="3436"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37"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37"/>
      <c r="Q27" s="1601" t="str">
        <f t="shared" si="11"/>
        <v>项目停车位配比</v>
      </c>
      <c r="R27" s="1573" t="s">
        <v>8</v>
      </c>
      <c r="S27" s="1574">
        <f t="shared" si="12"/>
        <v>100</v>
      </c>
      <c r="T27" s="1573" t="s">
        <v>8</v>
      </c>
      <c r="U27" s="1574">
        <f t="shared" si="13"/>
        <v>100</v>
      </c>
      <c r="V27" s="1573" t="s">
        <v>8</v>
      </c>
      <c r="W27" s="1574">
        <f t="shared" si="14"/>
        <v>100</v>
      </c>
      <c r="X27" s="1575"/>
      <c r="Y27" s="3437"/>
      <c r="Z27" s="1576" t="str">
        <f t="shared" si="15"/>
        <v>项目停车位配比</v>
      </c>
      <c r="AA27" s="1572">
        <f t="shared" si="3"/>
        <v>1</v>
      </c>
      <c r="AB27" s="1572">
        <f t="shared" si="4"/>
        <v>1</v>
      </c>
      <c r="AC27" s="1572">
        <f t="shared" si="5"/>
        <v>1</v>
      </c>
    </row>
    <row r="28" spans="1:29" ht="15">
      <c r="A28" s="929"/>
      <c r="B28" s="581" t="s">
        <v>804</v>
      </c>
      <c r="C28" s="573" t="s">
        <v>3127</v>
      </c>
      <c r="D28" s="539">
        <v>100</v>
      </c>
      <c r="E28" s="573" t="s">
        <v>3127</v>
      </c>
      <c r="F28" s="574">
        <f>SUMIF(83:83,E28,84:84)-SUMIF(83:83,C28,84:84)+100</f>
        <v>100</v>
      </c>
      <c r="G28" s="573" t="s">
        <v>3127</v>
      </c>
      <c r="H28" s="539">
        <f>SUMIF(83:83,G28,84:84)-SUMIF(83:83,C28,84:84)+100</f>
        <v>100</v>
      </c>
      <c r="I28" s="573" t="s">
        <v>3127</v>
      </c>
      <c r="J28" s="539">
        <f>SUMIF(83:83,I28,84:84)-SUMIF(83:83,C28,84:84)+100</f>
        <v>100</v>
      </c>
      <c r="K28" s="583">
        <v>2</v>
      </c>
      <c r="L28" s="2139"/>
      <c r="M28" s="2131"/>
      <c r="N28" s="2131"/>
      <c r="O28" s="2138"/>
      <c r="P28" s="3437"/>
      <c r="Q28" s="1568" t="str">
        <f t="shared" si="11"/>
        <v>公共部分装修</v>
      </c>
      <c r="R28" s="1569" t="s">
        <v>8</v>
      </c>
      <c r="S28" s="1570">
        <f t="shared" si="12"/>
        <v>100</v>
      </c>
      <c r="T28" s="1569" t="s">
        <v>8</v>
      </c>
      <c r="U28" s="1570">
        <f t="shared" si="13"/>
        <v>100</v>
      </c>
      <c r="V28" s="1569" t="s">
        <v>8</v>
      </c>
      <c r="W28" s="1570">
        <f t="shared" si="14"/>
        <v>100</v>
      </c>
      <c r="X28" s="1563"/>
      <c r="Y28" s="3437"/>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37"/>
      <c r="Q29" s="1568" t="str">
        <f t="shared" si="11"/>
        <v>成新率</v>
      </c>
      <c r="R29" s="1569" t="s">
        <v>8</v>
      </c>
      <c r="S29" s="1570">
        <f t="shared" si="12"/>
        <v>100</v>
      </c>
      <c r="T29" s="1569" t="s">
        <v>8</v>
      </c>
      <c r="U29" s="1570">
        <f t="shared" si="13"/>
        <v>100</v>
      </c>
      <c r="V29" s="1569" t="s">
        <v>8</v>
      </c>
      <c r="W29" s="1570">
        <f t="shared" si="14"/>
        <v>100</v>
      </c>
      <c r="X29" s="1563"/>
      <c r="Y29" s="3437"/>
      <c r="Z29" s="1571" t="str">
        <f t="shared" si="15"/>
        <v>成新率</v>
      </c>
      <c r="AA29" s="1572">
        <f t="shared" si="3"/>
        <v>1</v>
      </c>
      <c r="AB29" s="1572">
        <f t="shared" si="4"/>
        <v>1</v>
      </c>
      <c r="AC29" s="1572">
        <f t="shared" si="5"/>
        <v>1</v>
      </c>
    </row>
    <row r="30" spans="1:29" ht="15">
      <c r="A30" s="929"/>
      <c r="B30" s="581" t="s">
        <v>806</v>
      </c>
      <c r="C30" s="930" t="s">
        <v>3132</v>
      </c>
      <c r="D30" s="539">
        <v>100</v>
      </c>
      <c r="E30" s="930" t="s">
        <v>3132</v>
      </c>
      <c r="F30" s="574">
        <f>SUMIF(88:88,E30,89:89)-SUMIF(88:88,C30,89:89)+100</f>
        <v>100</v>
      </c>
      <c r="G30" s="930" t="s">
        <v>3132</v>
      </c>
      <c r="H30" s="539">
        <f>SUMIF(88:88,E30,89:89)-SUMIF(88:88,C30,89:89)+100</f>
        <v>100</v>
      </c>
      <c r="I30" s="930" t="s">
        <v>3132</v>
      </c>
      <c r="J30" s="539">
        <f>SUMIF(88:88,E30,89:89)-SUMIF(88:88,C30,89:89)+100</f>
        <v>100</v>
      </c>
      <c r="K30" s="583">
        <v>2</v>
      </c>
      <c r="L30" s="2139"/>
      <c r="M30" s="2131"/>
      <c r="N30" s="2131"/>
      <c r="O30" s="2138"/>
      <c r="P30" s="3437"/>
      <c r="Q30" s="1568" t="str">
        <f t="shared" si="11"/>
        <v>物业等级</v>
      </c>
      <c r="R30" s="1569" t="s">
        <v>8</v>
      </c>
      <c r="S30" s="1570">
        <f t="shared" si="12"/>
        <v>100</v>
      </c>
      <c r="T30" s="1569" t="s">
        <v>8</v>
      </c>
      <c r="U30" s="1570">
        <f t="shared" si="13"/>
        <v>100</v>
      </c>
      <c r="V30" s="1569" t="s">
        <v>8</v>
      </c>
      <c r="W30" s="1570">
        <f t="shared" si="14"/>
        <v>100</v>
      </c>
      <c r="X30" s="1563"/>
      <c r="Y30" s="3437"/>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37"/>
      <c r="Q31" s="1149" t="str">
        <f t="shared" si="11"/>
        <v>停车位面积</v>
      </c>
      <c r="R31" s="1564" t="s">
        <v>8</v>
      </c>
      <c r="S31" s="1565">
        <f t="shared" si="12"/>
        <v>100</v>
      </c>
      <c r="T31" s="1564" t="s">
        <v>8</v>
      </c>
      <c r="U31" s="1565">
        <f t="shared" si="13"/>
        <v>100</v>
      </c>
      <c r="V31" s="1564" t="s">
        <v>8</v>
      </c>
      <c r="W31" s="1565">
        <f t="shared" si="14"/>
        <v>100</v>
      </c>
      <c r="X31" s="1566"/>
      <c r="Y31" s="3437"/>
      <c r="Z31" s="1148" t="str">
        <f t="shared" si="15"/>
        <v>停车位面积</v>
      </c>
      <c r="AA31" s="1567">
        <f t="shared" si="3"/>
        <v>1</v>
      </c>
      <c r="AB31" s="1567">
        <f t="shared" si="4"/>
        <v>1</v>
      </c>
      <c r="AC31" s="1567">
        <f t="shared" si="5"/>
        <v>1</v>
      </c>
    </row>
    <row r="32" spans="1:29" ht="15">
      <c r="A32" s="929"/>
      <c r="B32" s="581" t="s">
        <v>808</v>
      </c>
      <c r="C32" s="573" t="s">
        <v>3134</v>
      </c>
      <c r="D32" s="539">
        <v>100</v>
      </c>
      <c r="E32" s="573" t="s">
        <v>3134</v>
      </c>
      <c r="F32" s="574">
        <f>SUMIF(93:93,E32,94:94)-SUMIF(93:93,C32,94:94)+100</f>
        <v>100</v>
      </c>
      <c r="G32" s="573" t="s">
        <v>3134</v>
      </c>
      <c r="H32" s="539">
        <f>SUMIF(93:93,G32,94:94)-SUMIF(93:93,C32,94:94)+100</f>
        <v>100</v>
      </c>
      <c r="I32" s="573" t="s">
        <v>3134</v>
      </c>
      <c r="J32" s="539">
        <f>SUMIF(93:93,I32,94:94)-SUMIF(93:93,C32,94:94)+100</f>
        <v>100</v>
      </c>
      <c r="K32" s="583">
        <v>2</v>
      </c>
      <c r="L32" s="2139"/>
      <c r="M32" s="2131"/>
      <c r="N32" s="2131"/>
      <c r="O32" s="2138"/>
      <c r="P32" s="3437" t="s">
        <v>546</v>
      </c>
      <c r="Q32" s="1568" t="str">
        <f t="shared" si="11"/>
        <v>车位类型</v>
      </c>
      <c r="R32" s="1569" t="s">
        <v>8</v>
      </c>
      <c r="S32" s="1570">
        <f t="shared" si="12"/>
        <v>100</v>
      </c>
      <c r="T32" s="1569" t="s">
        <v>8</v>
      </c>
      <c r="U32" s="1570">
        <f t="shared" si="13"/>
        <v>100</v>
      </c>
      <c r="V32" s="1569" t="s">
        <v>8</v>
      </c>
      <c r="W32" s="1570">
        <f t="shared" si="14"/>
        <v>100</v>
      </c>
      <c r="X32" s="1563"/>
      <c r="Y32" s="3437" t="s">
        <v>546</v>
      </c>
      <c r="Z32" s="1571" t="str">
        <f t="shared" si="15"/>
        <v>车位类型</v>
      </c>
      <c r="AA32" s="1572">
        <f t="shared" si="3"/>
        <v>1</v>
      </c>
      <c r="AB32" s="1572">
        <f t="shared" si="4"/>
        <v>1</v>
      </c>
      <c r="AC32" s="1572">
        <f t="shared" si="5"/>
        <v>1</v>
      </c>
    </row>
    <row r="33" spans="1:29" ht="15">
      <c r="A33" s="929"/>
      <c r="B33" s="581" t="s">
        <v>809</v>
      </c>
      <c r="C33" s="573" t="s">
        <v>2989</v>
      </c>
      <c r="D33" s="539">
        <v>100</v>
      </c>
      <c r="E33" s="573" t="s">
        <v>2989</v>
      </c>
      <c r="F33" s="574">
        <f>SUMIF(95:95,E33,96:96)-SUMIF(95:95,C33,96:96)+100</f>
        <v>100</v>
      </c>
      <c r="G33" s="573" t="s">
        <v>2989</v>
      </c>
      <c r="H33" s="539">
        <f>SUMIF(95:95,G33,96:96)-SUMIF(95:95,C33,96:96)+100</f>
        <v>100</v>
      </c>
      <c r="I33" s="573" t="s">
        <v>2989</v>
      </c>
      <c r="J33" s="539">
        <f>SUMIF(95:95,I33,96:96)-SUMIF(95:95,C33,96:96)+100</f>
        <v>100</v>
      </c>
      <c r="K33" s="583">
        <v>3</v>
      </c>
      <c r="L33" s="2139"/>
      <c r="M33" s="2131"/>
      <c r="N33" s="2131"/>
      <c r="O33" s="2138"/>
      <c r="P33" s="3437"/>
      <c r="Q33" s="1568" t="str">
        <f t="shared" si="11"/>
        <v>是否直接入户</v>
      </c>
      <c r="R33" s="1569" t="s">
        <v>8</v>
      </c>
      <c r="S33" s="1570">
        <f t="shared" si="12"/>
        <v>100</v>
      </c>
      <c r="T33" s="1569" t="s">
        <v>8</v>
      </c>
      <c r="U33" s="1570">
        <f t="shared" si="13"/>
        <v>100</v>
      </c>
      <c r="V33" s="1569" t="s">
        <v>8</v>
      </c>
      <c r="W33" s="1570">
        <f t="shared" si="14"/>
        <v>100</v>
      </c>
      <c r="X33" s="1563"/>
      <c r="Y33" s="3437"/>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37"/>
      <c r="Q34" s="1568">
        <f t="shared" si="11"/>
        <v>0</v>
      </c>
      <c r="R34" s="1569" t="s">
        <v>8</v>
      </c>
      <c r="S34" s="1570">
        <f t="shared" si="12"/>
        <v>100</v>
      </c>
      <c r="T34" s="1569" t="s">
        <v>8</v>
      </c>
      <c r="U34" s="1570">
        <f t="shared" si="13"/>
        <v>100</v>
      </c>
      <c r="V34" s="1569" t="s">
        <v>8</v>
      </c>
      <c r="W34" s="1570">
        <f t="shared" si="14"/>
        <v>100</v>
      </c>
      <c r="X34" s="1563"/>
      <c r="Y34" s="3437"/>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37"/>
      <c r="Q35" s="1601">
        <f t="shared" si="11"/>
        <v>0</v>
      </c>
      <c r="R35" s="1573" t="s">
        <v>8</v>
      </c>
      <c r="S35" s="1574">
        <f t="shared" si="12"/>
        <v>100</v>
      </c>
      <c r="T35" s="1573" t="s">
        <v>8</v>
      </c>
      <c r="U35" s="1574">
        <f t="shared" si="13"/>
        <v>100</v>
      </c>
      <c r="V35" s="1573" t="s">
        <v>8</v>
      </c>
      <c r="W35" s="1574">
        <f t="shared" si="14"/>
        <v>100</v>
      </c>
      <c r="X35" s="1575"/>
      <c r="Y35" s="3437"/>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37"/>
      <c r="Q36" s="1568">
        <f t="shared" si="11"/>
        <v>111</v>
      </c>
      <c r="R36" s="1569" t="s">
        <v>8</v>
      </c>
      <c r="S36" s="1570">
        <f t="shared" si="12"/>
        <v>100</v>
      </c>
      <c r="T36" s="1569" t="s">
        <v>8</v>
      </c>
      <c r="U36" s="1570">
        <f t="shared" si="13"/>
        <v>100</v>
      </c>
      <c r="V36" s="1569" t="s">
        <v>8</v>
      </c>
      <c r="W36" s="1570">
        <f t="shared" si="14"/>
        <v>100</v>
      </c>
      <c r="X36" s="1563"/>
      <c r="Y36" s="3437"/>
      <c r="Z36" s="1571">
        <f t="shared" si="15"/>
        <v>111</v>
      </c>
      <c r="AA36" s="1572">
        <f t="shared" si="3"/>
        <v>1</v>
      </c>
      <c r="AB36" s="1572">
        <f t="shared" si="4"/>
        <v>1</v>
      </c>
      <c r="AC36" s="1572">
        <f t="shared" si="5"/>
        <v>1</v>
      </c>
    </row>
    <row r="37" spans="1:29" ht="15">
      <c r="A37" s="1843" t="s">
        <v>2076</v>
      </c>
      <c r="B37" s="1844" t="s">
        <v>3138</v>
      </c>
      <c r="C37" s="2648" t="s">
        <v>1</v>
      </c>
      <c r="D37" s="2649"/>
      <c r="E37" s="2650">
        <v>109000</v>
      </c>
      <c r="F37" s="2651"/>
      <c r="G37" s="2652">
        <v>100000</v>
      </c>
      <c r="H37" s="2653"/>
      <c r="I37" s="2650">
        <v>100000</v>
      </c>
      <c r="J37" s="2653"/>
      <c r="K37" s="1607"/>
      <c r="L37" s="2141"/>
      <c r="M37" s="2142"/>
      <c r="N37" s="2131"/>
      <c r="O37" s="2142"/>
      <c r="P37" s="3432" t="str">
        <f>A37</f>
        <v>成交单价</v>
      </c>
      <c r="Q37" s="3432"/>
      <c r="R37" s="3511">
        <f>E37</f>
        <v>109000</v>
      </c>
      <c r="S37" s="3511"/>
      <c r="T37" s="3511">
        <f>G37</f>
        <v>100000</v>
      </c>
      <c r="U37" s="3511"/>
      <c r="V37" s="3511">
        <f>I37</f>
        <v>100000</v>
      </c>
      <c r="W37" s="3511"/>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32" t="str">
        <f>A38</f>
        <v>比较价格（元/平方米）</v>
      </c>
      <c r="Q38" s="3432"/>
      <c r="R38" s="3511">
        <f>IF(F1="售价",ROUND(PRODUCT(R37,AA7:AA36),0),ROUND(PRODUCT(R37,AA7:AA36),1))</f>
        <v>109044</v>
      </c>
      <c r="S38" s="3511"/>
      <c r="T38" s="3511">
        <f>IF(F1="售价",ROUND(PRODUCT(T37,AB7:AB36),0),ROUND(PRODUCT(T37,AB7:AB36),1))</f>
        <v>100543</v>
      </c>
      <c r="U38" s="3511"/>
      <c r="V38" s="3511">
        <f>IF(F1="售价",ROUND(PRODUCT(V37,AC7:AC36),0),ROUND(PRODUCT(V37,AC7:AC36),1))</f>
        <v>100000</v>
      </c>
      <c r="W38" s="3511"/>
      <c r="X38" s="1555"/>
      <c r="Y38" s="1555"/>
      <c r="Z38" s="1555"/>
      <c r="AA38" s="1555"/>
      <c r="AB38" s="1555"/>
      <c r="AC38" s="1555"/>
    </row>
    <row r="39" spans="1:29" ht="15.75" thickBot="1">
      <c r="A39" s="620" t="s">
        <v>2933</v>
      </c>
      <c r="B39" s="621"/>
      <c r="C39" s="2657">
        <f>R39</f>
        <v>103196</v>
      </c>
      <c r="D39" s="2657"/>
      <c r="E39" s="2657"/>
      <c r="F39" s="2657"/>
      <c r="G39" s="2657"/>
      <c r="H39" s="2657"/>
      <c r="I39" s="2657"/>
      <c r="J39" s="2657"/>
      <c r="K39" s="1609"/>
      <c r="L39" s="2141"/>
      <c r="M39" s="2142"/>
      <c r="N39" s="2142"/>
      <c r="O39" s="2142"/>
      <c r="P39" s="3453" t="str">
        <f>A39</f>
        <v>估价对象XX用房的比较价格（楼面单价，元/平方米）</v>
      </c>
      <c r="Q39" s="3454"/>
      <c r="R39" s="3512">
        <f>IF(F1="售价",ROUND(AVERAGE(R38:V38),0),ROUND(AVERAGE(R38:V38),1))</f>
        <v>103196</v>
      </c>
      <c r="S39" s="3512"/>
      <c r="T39" s="3512"/>
      <c r="U39" s="3512"/>
      <c r="V39" s="3512"/>
      <c r="W39" s="3512"/>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3128</v>
      </c>
      <c r="D83" s="3210" t="s">
        <v>3129</v>
      </c>
      <c r="E83" s="3213" t="s">
        <v>3130</v>
      </c>
      <c r="F83" s="3213" t="s">
        <v>3131</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3133</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3135</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3136</v>
      </c>
      <c r="D95" s="3202" t="s">
        <v>3137</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3076</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8533</v>
      </c>
      <c r="C2" s="2054"/>
      <c r="D2" s="2052"/>
      <c r="E2" s="2053"/>
      <c r="F2" s="2053"/>
      <c r="G2" s="1586"/>
      <c r="H2" s="2054"/>
      <c r="I2" s="2054"/>
      <c r="J2" s="2054"/>
      <c r="K2" s="2055"/>
      <c r="L2" s="2054"/>
      <c r="M2" s="2054"/>
    </row>
    <row r="3" spans="1:33" ht="18" customHeight="1" thickBot="1">
      <c r="A3" s="832" t="s">
        <v>515</v>
      </c>
      <c r="B3" s="833">
        <f ca="1">IF(ISERROR(B2*10000/F43),0,ROUND(B2*10000/F43,0))</f>
        <v>2533</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2" t="s">
        <v>2463</v>
      </c>
      <c r="C6" s="782">
        <f ca="1">ROUND(F6*F8*F7*(1-F9)/10000,0)</f>
        <v>727</v>
      </c>
      <c r="D6" s="2518" t="s">
        <v>2462</v>
      </c>
      <c r="E6" s="783" t="s">
        <v>1735</v>
      </c>
      <c r="F6" s="784">
        <f ca="1">INDIRECT("'数据-取费表'!u"&amp;$G$1)</f>
        <v>600</v>
      </c>
      <c r="G6" s="1588"/>
      <c r="H6" s="2525" t="s">
        <v>1821</v>
      </c>
      <c r="I6" s="3492" t="s">
        <v>2463</v>
      </c>
      <c r="J6" s="782">
        <f ca="1">ROUND(M6*M8*M7*(1-M9)/10000,0)</f>
        <v>0</v>
      </c>
      <c r="K6" s="340" t="s">
        <v>632</v>
      </c>
      <c r="L6" s="783" t="s">
        <v>1735</v>
      </c>
      <c r="M6" s="784">
        <f ca="1">INDIRECT("'数据-取费表'!z"&amp;$G$1)</f>
        <v>0</v>
      </c>
    </row>
    <row r="7" spans="1:33" ht="18" customHeight="1">
      <c r="A7" s="2521"/>
      <c r="B7" s="3493"/>
      <c r="C7" s="787"/>
      <c r="D7" s="788"/>
      <c r="E7" s="783" t="s">
        <v>634</v>
      </c>
      <c r="F7" s="784">
        <f ca="1">IF(INDIRECT("'数据-取费表'!ah"&amp;$G$1)="",INDIRECT("'数据-取费表'!k"&amp;$G$1),INDIRECT("'数据-取费表'!ah"&amp;$G$1))</f>
        <v>1122</v>
      </c>
      <c r="G7" s="1588"/>
      <c r="H7" s="2510"/>
      <c r="I7" s="3493"/>
      <c r="J7" s="787"/>
      <c r="K7" s="788"/>
      <c r="L7" s="783" t="s">
        <v>634</v>
      </c>
      <c r="M7" s="784">
        <f ca="1">F7</f>
        <v>1122</v>
      </c>
    </row>
    <row r="8" spans="1:33" ht="18" customHeight="1">
      <c r="A8" s="2514"/>
      <c r="B8" s="3494"/>
      <c r="C8" s="787"/>
      <c r="D8" s="788"/>
      <c r="E8" s="783" t="s">
        <v>635</v>
      </c>
      <c r="F8" s="784">
        <f ca="1">INDIRECT("'数据-取费表'!ai"&amp;$G$1)</f>
        <v>12</v>
      </c>
      <c r="G8" s="1588"/>
      <c r="H8" s="2510"/>
      <c r="I8" s="3494"/>
      <c r="J8" s="787"/>
      <c r="K8" s="788"/>
      <c r="L8" s="783" t="s">
        <v>635</v>
      </c>
      <c r="M8" s="784">
        <f ca="1">INDIRECT("'数据-取费表'!ai"&amp;$G$1)</f>
        <v>12</v>
      </c>
    </row>
    <row r="9" spans="1:33" ht="18" customHeight="1">
      <c r="A9" s="785"/>
      <c r="B9" s="3495"/>
      <c r="C9" s="787"/>
      <c r="D9" s="788"/>
      <c r="E9" s="783" t="s">
        <v>636</v>
      </c>
      <c r="F9" s="793">
        <f ca="1">INDIRECT("'数据-取费表'!w"&amp;$G$1)</f>
        <v>0.1</v>
      </c>
      <c r="G9" s="1588"/>
      <c r="H9" s="2526"/>
      <c r="I9" s="3494"/>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2975</v>
      </c>
      <c r="E10" s="2519" t="s">
        <v>2464</v>
      </c>
      <c r="F10" s="2642"/>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11610</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11610</v>
      </c>
      <c r="K14" s="26"/>
      <c r="L14" s="800"/>
      <c r="M14" s="801"/>
    </row>
    <row r="15" spans="1:33" s="2061" customFormat="1" ht="18" customHeight="1" thickBot="1">
      <c r="A15" s="1644" t="s">
        <v>1829</v>
      </c>
      <c r="B15" s="783" t="s">
        <v>643</v>
      </c>
      <c r="C15" s="53">
        <f ca="1">ROUND(C14*F15,0)</f>
        <v>258</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1154</v>
      </c>
      <c r="K16" s="1818" t="s">
        <v>648</v>
      </c>
      <c r="L16" s="3176"/>
      <c r="M16" s="2512"/>
    </row>
    <row r="17" spans="1:33" s="2061" customFormat="1" ht="18" customHeight="1">
      <c r="A17" s="1644" t="s">
        <v>1884</v>
      </c>
      <c r="B17" s="783" t="s">
        <v>649</v>
      </c>
      <c r="C17" s="53">
        <f ca="1">ROUND(F17*(F43+INDIRECT("'数据-取费表'!S"&amp;$G$1))/10000,0)</f>
        <v>618</v>
      </c>
      <c r="D17" s="783" t="s">
        <v>650</v>
      </c>
      <c r="E17" s="783" t="s">
        <v>651</v>
      </c>
      <c r="F17" s="56">
        <f>'数据-取费表'!B35</f>
        <v>180</v>
      </c>
      <c r="G17" s="1589"/>
      <c r="H17" s="1645" t="s">
        <v>1821</v>
      </c>
      <c r="I17" s="783" t="s">
        <v>652</v>
      </c>
      <c r="J17" s="53">
        <f ca="1">ROUND(IF(项目基本情况!B11="自然人",J5*M17,J18+J19+J20),0)</f>
        <v>980</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9590</v>
      </c>
      <c r="D19" s="260" t="s">
        <v>1754</v>
      </c>
      <c r="E19" s="3177"/>
      <c r="F19" s="56"/>
      <c r="G19" s="1588"/>
      <c r="H19" s="1644" t="s">
        <v>1829</v>
      </c>
      <c r="I19" s="783" t="s">
        <v>660</v>
      </c>
      <c r="J19" s="53">
        <f ca="1">IF(K19="按租金收入计税",ROUND(J5*M19,1),ROUND(C29*F33*0.7,1))</f>
        <v>975.2</v>
      </c>
      <c r="K19" s="810" t="s">
        <v>661</v>
      </c>
      <c r="L19" s="783" t="s">
        <v>645</v>
      </c>
      <c r="M19" s="808">
        <f>IF(K19="按租金收入计税",'数据-取费表'!B51,'数据-取费表'!B50)</f>
        <v>1.2E-2</v>
      </c>
    </row>
    <row r="20" spans="1:33" s="2061" customFormat="1" ht="18" customHeight="1">
      <c r="A20" s="1645" t="s">
        <v>1886</v>
      </c>
      <c r="B20" s="783" t="s">
        <v>662</v>
      </c>
      <c r="C20" s="53">
        <f ca="1">ROUND(C19*F20,0)</f>
        <v>192</v>
      </c>
      <c r="D20" s="811" t="s">
        <v>663</v>
      </c>
      <c r="E20" s="783" t="s">
        <v>645</v>
      </c>
      <c r="F20" s="808">
        <f>'数据-取费表'!B37</f>
        <v>0.02</v>
      </c>
      <c r="G20" s="1589"/>
      <c r="H20" s="1647" t="s">
        <v>1830</v>
      </c>
      <c r="I20" s="340" t="s">
        <v>664</v>
      </c>
      <c r="J20" s="54">
        <f ca="1">ROUND(M20*M21/10000,0)</f>
        <v>5</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174</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465</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-1154</v>
      </c>
      <c r="K25" s="2569" t="s">
        <v>1774</v>
      </c>
      <c r="L25" s="2570"/>
      <c r="M25" s="2571"/>
    </row>
    <row r="26" spans="1:33" ht="18" customHeight="1">
      <c r="A26" s="1644" t="s">
        <v>1828</v>
      </c>
      <c r="B26" s="783" t="s">
        <v>2438</v>
      </c>
      <c r="C26" s="53">
        <f ca="1">ROUND((C19+C20)*F26,0)</f>
        <v>489</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11610</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330</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131</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5</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929</v>
      </c>
      <c r="K35" s="2075"/>
      <c r="L35" s="2074"/>
      <c r="M35" s="2074"/>
    </row>
    <row r="36" spans="1:18" ht="18" customHeight="1">
      <c r="A36" s="1645" t="s">
        <v>1886</v>
      </c>
      <c r="B36" s="783" t="s">
        <v>672</v>
      </c>
      <c r="C36" s="53">
        <f ca="1">ROUND(C29*F36,1)</f>
        <v>174.2</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17.399999999999999</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397</v>
      </c>
      <c r="D39" s="2569" t="s">
        <v>1774</v>
      </c>
      <c r="E39" s="2570"/>
      <c r="F39" s="2571"/>
      <c r="G39" s="2059"/>
      <c r="H39" s="2074"/>
      <c r="I39" s="836" t="s">
        <v>1815</v>
      </c>
      <c r="J39" s="844">
        <f ca="1">ROUND(J35/C39,3)</f>
        <v>2.34</v>
      </c>
      <c r="K39" s="2080"/>
      <c r="L39" s="2074"/>
      <c r="M39" s="2074"/>
    </row>
    <row r="40" spans="1:18" ht="18" customHeight="1">
      <c r="A40" s="780" t="s">
        <v>1777</v>
      </c>
      <c r="B40" s="2229" t="s">
        <v>2300</v>
      </c>
      <c r="C40" s="782">
        <f ca="1">ROUND(C39*(1-((1+F42)/(1+F40))^F41)/(F40-F42),0)</f>
        <v>8533</v>
      </c>
      <c r="D40" s="813" t="s">
        <v>700</v>
      </c>
      <c r="E40" s="783" t="s">
        <v>2419</v>
      </c>
      <c r="F40" s="793">
        <f ca="1">INDIRECT("'数据-取费表'!I"&amp;$G$1)</f>
        <v>0.05</v>
      </c>
      <c r="G40" s="2059"/>
      <c r="H40" s="2059"/>
      <c r="I40" s="836" t="s">
        <v>1816</v>
      </c>
      <c r="J40" s="844">
        <f ca="1">1-J39</f>
        <v>-1.3399999999999999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1.361</v>
      </c>
      <c r="K42" s="2079"/>
      <c r="L42" s="1985"/>
      <c r="M42" s="1985"/>
    </row>
    <row r="43" spans="1:18" ht="18" customHeight="1" thickBot="1">
      <c r="A43" s="822" t="s">
        <v>1784</v>
      </c>
      <c r="B43" s="823" t="s">
        <v>1807</v>
      </c>
      <c r="C43" s="824">
        <f ca="1">ROUND(C40*10000/F43,0)</f>
        <v>2533</v>
      </c>
      <c r="D43" s="825" t="s">
        <v>1808</v>
      </c>
      <c r="E43" s="826" t="s">
        <v>1809</v>
      </c>
      <c r="F43" s="827">
        <f ca="1">INDIRECT("'数据-取费表'!k"&amp;$G$1)</f>
        <v>33683.65</v>
      </c>
      <c r="G43" s="2059"/>
      <c r="H43" s="1985"/>
      <c r="I43" s="846" t="s">
        <v>1819</v>
      </c>
      <c r="J43" s="847">
        <f ca="1">1-J42</f>
        <v>-0.36099999999999999</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11.067444876783398</v>
      </c>
      <c r="E45" s="2082"/>
      <c r="F45" s="2082"/>
      <c r="K45" s="2083"/>
      <c r="Q45" s="2094"/>
    </row>
    <row r="46" spans="1:18" s="2056" customFormat="1" ht="18" customHeight="1" thickBot="1">
      <c r="A46" s="2227" t="s">
        <v>2294</v>
      </c>
      <c r="B46" s="2082"/>
      <c r="C46" s="2595">
        <f ca="1">C67-C40</f>
        <v>-11783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8533</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11610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-10266</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3" t="s">
        <v>2967</v>
      </c>
      <c r="L53" s="3514"/>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8533</v>
      </c>
      <c r="R54" s="2424" t="s">
        <v>2392</v>
      </c>
    </row>
    <row r="55" spans="1:18" s="2056" customFormat="1" ht="18" customHeight="1" thickTop="1" thickBot="1">
      <c r="A55" s="796">
        <v>2</v>
      </c>
      <c r="B55" s="797" t="s">
        <v>640</v>
      </c>
      <c r="C55" s="798">
        <f ca="1">C13</f>
        <v>11610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11610</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197</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8533</v>
      </c>
      <c r="R57" s="2420" t="s">
        <v>2380</v>
      </c>
    </row>
    <row r="58" spans="1:18" s="2056" customFormat="1" ht="28.5" customHeight="1" thickBot="1">
      <c r="A58" s="1645" t="s">
        <v>1821</v>
      </c>
      <c r="B58" s="783" t="s">
        <v>652</v>
      </c>
      <c r="C58" s="53">
        <f ca="1">ROUND(IF(项目基本情况!B11="自然人",C47*F58,C59+C60+C61),1)</f>
        <v>5</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5</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174.2</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8533</v>
      </c>
      <c r="R63" s="2424" t="s">
        <v>2392</v>
      </c>
    </row>
    <row r="64" spans="1:18" s="2056" customFormat="1" ht="16.5" thickBot="1">
      <c r="A64" s="1645" t="s">
        <v>1887</v>
      </c>
      <c r="B64" s="783" t="s">
        <v>675</v>
      </c>
      <c r="C64" s="53">
        <f ca="1">ROUND(C55*F64,1)</f>
        <v>17.399999999999999</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-197</v>
      </c>
      <c r="D66" s="3174" t="s">
        <v>696</v>
      </c>
      <c r="E66" s="3172"/>
      <c r="F66" s="819"/>
      <c r="K66" s="2083"/>
      <c r="O66" s="2419" t="s">
        <v>2379</v>
      </c>
      <c r="P66" s="2420" t="s">
        <v>2405</v>
      </c>
      <c r="Q66" s="2421">
        <f ca="1">C40+J29</f>
        <v>8533</v>
      </c>
      <c r="R66" s="2420" t="s">
        <v>2380</v>
      </c>
    </row>
    <row r="67" spans="1:18" s="2056" customFormat="1" ht="20.25" thickBot="1">
      <c r="A67" s="780" t="s">
        <v>1777</v>
      </c>
      <c r="B67" s="2229" t="s">
        <v>2300</v>
      </c>
      <c r="C67" s="782">
        <f ca="1">ROUND(C66*(1-((1+F69)/(1+F67))^F68)/(F67-F69),0)</f>
        <v>-3250</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-10266</v>
      </c>
      <c r="R68" s="2427" t="s">
        <v>2416</v>
      </c>
    </row>
    <row r="69" spans="1:18" ht="20.25" thickBot="1">
      <c r="A69" s="789"/>
      <c r="B69" s="790"/>
      <c r="C69" s="791"/>
      <c r="D69" s="815"/>
      <c r="E69" s="783" t="s">
        <v>706</v>
      </c>
      <c r="F69" s="2368"/>
      <c r="O69" s="2422" t="s">
        <v>2384</v>
      </c>
      <c r="P69" s="2428" t="s">
        <v>2398</v>
      </c>
      <c r="Q69" s="2421">
        <f ca="1">ROUND(Q70-Q71*Q72,0)</f>
        <v>-532</v>
      </c>
      <c r="R69" s="2424"/>
    </row>
    <row r="70" spans="1:18" ht="15.75" thickBot="1">
      <c r="A70" s="822" t="s">
        <v>1784</v>
      </c>
      <c r="B70" s="823" t="s">
        <v>1807</v>
      </c>
      <c r="C70" s="824">
        <f ca="1">ROUND(C67*10000/F70,0)</f>
        <v>-965</v>
      </c>
      <c r="D70" s="825" t="s">
        <v>1808</v>
      </c>
      <c r="E70" s="826" t="s">
        <v>1809</v>
      </c>
      <c r="F70" s="827">
        <f ca="1">F43</f>
        <v>33683.65</v>
      </c>
      <c r="O70" s="2422" t="s">
        <v>2399</v>
      </c>
      <c r="P70" s="2428" t="s">
        <v>2400</v>
      </c>
      <c r="Q70" s="2421">
        <f ca="1">C39</f>
        <v>397</v>
      </c>
      <c r="R70" s="2420" t="s">
        <v>2380</v>
      </c>
    </row>
    <row r="71" spans="1:18" ht="15.75" thickBot="1">
      <c r="O71" s="2422" t="s">
        <v>2401</v>
      </c>
      <c r="P71" s="2428" t="s">
        <v>2402</v>
      </c>
      <c r="Q71" s="2421">
        <f ca="1">C13</f>
        <v>11610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8533</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38" t="s">
        <v>794</v>
      </c>
      <c r="D4" s="3439"/>
      <c r="E4" s="3462" t="s">
        <v>795</v>
      </c>
      <c r="F4" s="3463"/>
      <c r="G4" s="3438" t="s">
        <v>796</v>
      </c>
      <c r="H4" s="3439"/>
      <c r="I4" s="3438" t="s">
        <v>797</v>
      </c>
      <c r="J4" s="3439"/>
      <c r="K4" s="513" t="s">
        <v>798</v>
      </c>
      <c r="L4" s="2130"/>
      <c r="M4" s="2131"/>
      <c r="N4" s="2131"/>
      <c r="O4" s="2131"/>
      <c r="P4" s="3440" t="s">
        <v>799</v>
      </c>
      <c r="Q4" s="3441"/>
      <c r="R4" s="3426" t="s">
        <v>795</v>
      </c>
      <c r="S4" s="3427"/>
      <c r="T4" s="3426" t="s">
        <v>796</v>
      </c>
      <c r="U4" s="3427"/>
      <c r="V4" s="3446" t="s">
        <v>797</v>
      </c>
      <c r="W4" s="3446"/>
      <c r="X4" s="1563"/>
      <c r="Y4" s="3426" t="s">
        <v>799</v>
      </c>
      <c r="Z4" s="3427"/>
      <c r="AA4" s="3421" t="s">
        <v>795</v>
      </c>
      <c r="AB4" s="3422" t="s">
        <v>796</v>
      </c>
      <c r="AC4" s="3421" t="s">
        <v>797</v>
      </c>
    </row>
    <row r="5" spans="1:29" ht="15">
      <c r="A5" s="514"/>
      <c r="B5" s="515"/>
      <c r="C5" s="3449" t="s">
        <v>2927</v>
      </c>
      <c r="D5" s="3450"/>
      <c r="E5" s="3464" t="s">
        <v>2928</v>
      </c>
      <c r="F5" s="3465"/>
      <c r="G5" s="3449" t="s">
        <v>2929</v>
      </c>
      <c r="H5" s="3450"/>
      <c r="I5" s="3449" t="s">
        <v>2930</v>
      </c>
      <c r="J5" s="3450"/>
      <c r="K5" s="513"/>
      <c r="L5" s="2130"/>
      <c r="M5" s="2131"/>
      <c r="N5" s="2131"/>
      <c r="O5" s="2131"/>
      <c r="P5" s="3442"/>
      <c r="Q5" s="3443"/>
      <c r="R5" s="3428"/>
      <c r="S5" s="3429"/>
      <c r="T5" s="3428"/>
      <c r="U5" s="3429"/>
      <c r="V5" s="3446"/>
      <c r="W5" s="3446"/>
      <c r="X5" s="1563"/>
      <c r="Y5" s="3428"/>
      <c r="Z5" s="3429"/>
      <c r="AA5" s="3422"/>
      <c r="AB5" s="3422"/>
      <c r="AC5" s="3422"/>
    </row>
    <row r="6" spans="1:29" ht="15.75" thickBot="1">
      <c r="A6" s="516"/>
      <c r="B6" s="517"/>
      <c r="C6" s="3447" t="s">
        <v>2931</v>
      </c>
      <c r="D6" s="3448"/>
      <c r="E6" s="3466" t="s">
        <v>2931</v>
      </c>
      <c r="F6" s="3467"/>
      <c r="G6" s="3447" t="s">
        <v>2931</v>
      </c>
      <c r="H6" s="3448"/>
      <c r="I6" s="3447" t="s">
        <v>2931</v>
      </c>
      <c r="J6" s="3448"/>
      <c r="K6" s="513" t="s">
        <v>524</v>
      </c>
      <c r="L6" s="2130"/>
      <c r="M6" s="2131"/>
      <c r="N6" s="2131"/>
      <c r="O6" s="2131"/>
      <c r="P6" s="3444"/>
      <c r="Q6" s="3445"/>
      <c r="R6" s="3428"/>
      <c r="S6" s="3429"/>
      <c r="T6" s="3430"/>
      <c r="U6" s="3431"/>
      <c r="V6" s="3446"/>
      <c r="W6" s="3446"/>
      <c r="X6" s="1563"/>
      <c r="Y6" s="3430"/>
      <c r="Z6" s="3431"/>
      <c r="AA6" s="3423"/>
      <c r="AB6" s="3423"/>
      <c r="AC6" s="3423"/>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4" t="s">
        <v>526</v>
      </c>
      <c r="Q7" s="3433"/>
      <c r="R7" s="1564" t="s">
        <v>8</v>
      </c>
      <c r="S7" s="1565">
        <f t="shared" ref="S7:S14" si="0">F7</f>
        <v>0</v>
      </c>
      <c r="T7" s="1564" t="s">
        <v>8</v>
      </c>
      <c r="U7" s="1565">
        <f t="shared" ref="U7:U14" si="1">H7</f>
        <v>0</v>
      </c>
      <c r="V7" s="1564" t="s">
        <v>8</v>
      </c>
      <c r="W7" s="1565">
        <f t="shared" ref="W7:W14" si="2">J7</f>
        <v>0</v>
      </c>
      <c r="X7" s="1566"/>
      <c r="Y7" s="3424" t="s">
        <v>526</v>
      </c>
      <c r="Z7" s="3425"/>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4" t="s">
        <v>529</v>
      </c>
      <c r="Q8" s="3425"/>
      <c r="R8" s="1564" t="s">
        <v>8</v>
      </c>
      <c r="S8" s="1565">
        <f t="shared" si="0"/>
        <v>0</v>
      </c>
      <c r="T8" s="1564" t="s">
        <v>8</v>
      </c>
      <c r="U8" s="1565">
        <f t="shared" si="1"/>
        <v>0</v>
      </c>
      <c r="V8" s="1564" t="s">
        <v>8</v>
      </c>
      <c r="W8" s="1565">
        <f t="shared" si="2"/>
        <v>0</v>
      </c>
      <c r="X8" s="1566"/>
      <c r="Y8" s="3424" t="s">
        <v>529</v>
      </c>
      <c r="Z8" s="3425"/>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2" t="s">
        <v>531</v>
      </c>
      <c r="Q9" s="1149" t="str">
        <f t="shared" ref="Q9:Q14" si="6">B9</f>
        <v>用途</v>
      </c>
      <c r="R9" s="1564" t="s">
        <v>8</v>
      </c>
      <c r="S9" s="1565">
        <f t="shared" si="0"/>
        <v>100</v>
      </c>
      <c r="T9" s="1564" t="s">
        <v>8</v>
      </c>
      <c r="U9" s="1565">
        <f t="shared" si="1"/>
        <v>100</v>
      </c>
      <c r="V9" s="1564" t="s">
        <v>8</v>
      </c>
      <c r="W9" s="1565">
        <f t="shared" si="2"/>
        <v>100</v>
      </c>
      <c r="X9" s="1566"/>
      <c r="Y9" s="3389"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2"/>
      <c r="Q10" s="1149" t="str">
        <f t="shared" si="6"/>
        <v>土地使用年限（年）</v>
      </c>
      <c r="R10" s="1564" t="s">
        <v>8</v>
      </c>
      <c r="S10" s="1565">
        <f t="shared" si="0"/>
        <v>100</v>
      </c>
      <c r="T10" s="1564" t="s">
        <v>8</v>
      </c>
      <c r="U10" s="1565">
        <f t="shared" si="1"/>
        <v>100</v>
      </c>
      <c r="V10" s="1564" t="s">
        <v>8</v>
      </c>
      <c r="W10" s="1565">
        <f t="shared" si="2"/>
        <v>100</v>
      </c>
      <c r="X10" s="1566"/>
      <c r="Y10" s="3389"/>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2"/>
      <c r="Q11" s="1149">
        <f t="shared" si="6"/>
        <v>111</v>
      </c>
      <c r="R11" s="1564" t="s">
        <v>8</v>
      </c>
      <c r="S11" s="1565">
        <f t="shared" si="0"/>
        <v>100</v>
      </c>
      <c r="T11" s="1564" t="s">
        <v>8</v>
      </c>
      <c r="U11" s="1565">
        <f t="shared" si="1"/>
        <v>100</v>
      </c>
      <c r="V11" s="1564" t="s">
        <v>8</v>
      </c>
      <c r="W11" s="1565">
        <f t="shared" si="2"/>
        <v>100</v>
      </c>
      <c r="X11" s="1566"/>
      <c r="Y11" s="3389"/>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2"/>
      <c r="Q12" s="1149">
        <f t="shared" si="6"/>
        <v>111</v>
      </c>
      <c r="R12" s="1564" t="s">
        <v>8</v>
      </c>
      <c r="S12" s="1565">
        <f t="shared" si="0"/>
        <v>100</v>
      </c>
      <c r="T12" s="1564" t="s">
        <v>8</v>
      </c>
      <c r="U12" s="1565">
        <f t="shared" si="1"/>
        <v>100</v>
      </c>
      <c r="V12" s="1564" t="s">
        <v>8</v>
      </c>
      <c r="W12" s="1565">
        <f t="shared" si="2"/>
        <v>100</v>
      </c>
      <c r="X12" s="1566"/>
      <c r="Y12" s="3389"/>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2"/>
      <c r="Q13" s="1149">
        <f t="shared" si="6"/>
        <v>111</v>
      </c>
      <c r="R13" s="1564" t="s">
        <v>8</v>
      </c>
      <c r="S13" s="1565">
        <f t="shared" si="0"/>
        <v>100</v>
      </c>
      <c r="T13" s="1564" t="s">
        <v>8</v>
      </c>
      <c r="U13" s="1565">
        <f t="shared" si="1"/>
        <v>100</v>
      </c>
      <c r="V13" s="1564" t="s">
        <v>8</v>
      </c>
      <c r="W13" s="1565">
        <f t="shared" si="2"/>
        <v>100</v>
      </c>
      <c r="X13" s="1566"/>
      <c r="Y13" s="3389"/>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4" t="s">
        <v>536</v>
      </c>
      <c r="Q14" s="1568" t="str">
        <f t="shared" si="6"/>
        <v>交通便捷度</v>
      </c>
      <c r="R14" s="1569" t="s">
        <v>8</v>
      </c>
      <c r="S14" s="1570">
        <f t="shared" si="0"/>
        <v>100</v>
      </c>
      <c r="T14" s="1569" t="s">
        <v>8</v>
      </c>
      <c r="U14" s="1570">
        <f t="shared" si="1"/>
        <v>100</v>
      </c>
      <c r="V14" s="1569" t="s">
        <v>8</v>
      </c>
      <c r="W14" s="1570">
        <f t="shared" si="2"/>
        <v>100</v>
      </c>
      <c r="X14" s="1563"/>
      <c r="Y14" s="3434"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35"/>
      <c r="Q15" s="1568"/>
      <c r="R15" s="1569"/>
      <c r="S15" s="1570"/>
      <c r="T15" s="1569"/>
      <c r="U15" s="1570"/>
      <c r="V15" s="1569"/>
      <c r="W15" s="1570"/>
      <c r="X15" s="1563"/>
      <c r="Y15" s="3435"/>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5"/>
      <c r="Q16" s="1568" t="str">
        <f>B16</f>
        <v>公共配套设施</v>
      </c>
      <c r="R16" s="1569" t="s">
        <v>8</v>
      </c>
      <c r="S16" s="1570">
        <f>F16</f>
        <v>100</v>
      </c>
      <c r="T16" s="1569" t="s">
        <v>8</v>
      </c>
      <c r="U16" s="1570">
        <f>H16</f>
        <v>100</v>
      </c>
      <c r="V16" s="1569" t="s">
        <v>8</v>
      </c>
      <c r="W16" s="1570">
        <f>J16</f>
        <v>100</v>
      </c>
      <c r="X16" s="1563"/>
      <c r="Y16" s="3435"/>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35"/>
      <c r="Q17" s="1568"/>
      <c r="R17" s="1569"/>
      <c r="S17" s="1570"/>
      <c r="T17" s="1569"/>
      <c r="U17" s="1570"/>
      <c r="V17" s="1569"/>
      <c r="W17" s="1570"/>
      <c r="X17" s="1563"/>
      <c r="Y17" s="3435"/>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5"/>
      <c r="Q18" s="2600" t="str">
        <f>B18</f>
        <v>基础设施水平</v>
      </c>
      <c r="R18" s="1569" t="s">
        <v>8</v>
      </c>
      <c r="S18" s="1570">
        <f>F18</f>
        <v>100</v>
      </c>
      <c r="T18" s="1569" t="s">
        <v>8</v>
      </c>
      <c r="U18" s="1570">
        <f>H18</f>
        <v>100</v>
      </c>
      <c r="V18" s="1569" t="s">
        <v>8</v>
      </c>
      <c r="W18" s="1570">
        <f>J18</f>
        <v>100</v>
      </c>
      <c r="X18" s="2602"/>
      <c r="Y18" s="3435"/>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35"/>
      <c r="Q19" s="2600"/>
      <c r="R19" s="1569"/>
      <c r="S19" s="1570"/>
      <c r="T19" s="1569"/>
      <c r="U19" s="1570"/>
      <c r="V19" s="1569"/>
      <c r="W19" s="1570"/>
      <c r="X19" s="2602"/>
      <c r="Y19" s="3435"/>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5"/>
      <c r="Q20" s="1568" t="str">
        <f>B20</f>
        <v>自然及人文环境</v>
      </c>
      <c r="R20" s="1569" t="s">
        <v>8</v>
      </c>
      <c r="S20" s="1570">
        <f>F20</f>
        <v>100</v>
      </c>
      <c r="T20" s="1569" t="s">
        <v>8</v>
      </c>
      <c r="U20" s="1570">
        <f>H20</f>
        <v>100</v>
      </c>
      <c r="V20" s="1569" t="s">
        <v>8</v>
      </c>
      <c r="W20" s="1570">
        <f>J20</f>
        <v>100</v>
      </c>
      <c r="X20" s="1563"/>
      <c r="Y20" s="3435"/>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35"/>
      <c r="Q21" s="1568"/>
      <c r="R21" s="1569"/>
      <c r="S21" s="1570"/>
      <c r="T21" s="1569"/>
      <c r="U21" s="1570"/>
      <c r="V21" s="1569"/>
      <c r="W21" s="1570"/>
      <c r="X21" s="1563"/>
      <c r="Y21" s="3435"/>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5"/>
      <c r="Q22" s="1568" t="str">
        <f>B22</f>
        <v>楼层</v>
      </c>
      <c r="R22" s="1569" t="s">
        <v>8</v>
      </c>
      <c r="S22" s="1570">
        <f>F22</f>
        <v>100</v>
      </c>
      <c r="T22" s="1569" t="s">
        <v>8</v>
      </c>
      <c r="U22" s="1570">
        <f>H22</f>
        <v>100</v>
      </c>
      <c r="V22" s="1569" t="s">
        <v>8</v>
      </c>
      <c r="W22" s="1570">
        <f>J22</f>
        <v>100</v>
      </c>
      <c r="X22" s="1563"/>
      <c r="Y22" s="3435"/>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5"/>
      <c r="Q23" s="1568">
        <f>B23</f>
        <v>111</v>
      </c>
      <c r="R23" s="1569" t="s">
        <v>8</v>
      </c>
      <c r="S23" s="1570">
        <f>F23</f>
        <v>100</v>
      </c>
      <c r="T23" s="1569" t="s">
        <v>8</v>
      </c>
      <c r="U23" s="1570">
        <f>H23</f>
        <v>100</v>
      </c>
      <c r="V23" s="1569" t="s">
        <v>8</v>
      </c>
      <c r="W23" s="1570">
        <f>J23</f>
        <v>100</v>
      </c>
      <c r="X23" s="1563"/>
      <c r="Y23" s="3435"/>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5"/>
      <c r="Q24" s="1568">
        <f t="shared" ref="Q24:Q34" si="11">B24</f>
        <v>111</v>
      </c>
      <c r="R24" s="1569" t="s">
        <v>8</v>
      </c>
      <c r="S24" s="1570">
        <f>F24</f>
        <v>100</v>
      </c>
      <c r="T24" s="1569" t="s">
        <v>8</v>
      </c>
      <c r="U24" s="1570">
        <f>H24</f>
        <v>100</v>
      </c>
      <c r="V24" s="1569" t="s">
        <v>8</v>
      </c>
      <c r="W24" s="1570">
        <f>J24</f>
        <v>100</v>
      </c>
      <c r="X24" s="1563"/>
      <c r="Y24" s="3435"/>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5"/>
      <c r="Q25" s="1149">
        <f t="shared" si="11"/>
        <v>111</v>
      </c>
      <c r="R25" s="1564" t="s">
        <v>8</v>
      </c>
      <c r="S25" s="1565">
        <f>F25</f>
        <v>100</v>
      </c>
      <c r="T25" s="1564" t="s">
        <v>8</v>
      </c>
      <c r="U25" s="1565">
        <f>H25</f>
        <v>100</v>
      </c>
      <c r="V25" s="1564" t="s">
        <v>8</v>
      </c>
      <c r="W25" s="1565">
        <f>J25</f>
        <v>100</v>
      </c>
      <c r="X25" s="1566"/>
      <c r="Y25" s="3435"/>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6"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37"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37"/>
      <c r="Q27" s="1601" t="str">
        <f t="shared" si="11"/>
        <v>成新率</v>
      </c>
      <c r="R27" s="1573" t="s">
        <v>8</v>
      </c>
      <c r="S27" s="1574" t="e">
        <f t="shared" si="12"/>
        <v>#N/A</v>
      </c>
      <c r="T27" s="1573" t="s">
        <v>8</v>
      </c>
      <c r="U27" s="1574" t="e">
        <f t="shared" si="13"/>
        <v>#N/A</v>
      </c>
      <c r="V27" s="1573" t="s">
        <v>8</v>
      </c>
      <c r="W27" s="1574" t="e">
        <f t="shared" si="14"/>
        <v>#N/A</v>
      </c>
      <c r="X27" s="1575"/>
      <c r="Y27" s="3437"/>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37"/>
      <c r="Q28" s="1568" t="str">
        <f t="shared" si="11"/>
        <v>物业等级</v>
      </c>
      <c r="R28" s="1569" t="s">
        <v>8</v>
      </c>
      <c r="S28" s="1570">
        <f t="shared" si="12"/>
        <v>100</v>
      </c>
      <c r="T28" s="1569" t="s">
        <v>8</v>
      </c>
      <c r="U28" s="1570">
        <f t="shared" si="13"/>
        <v>100</v>
      </c>
      <c r="V28" s="1569" t="s">
        <v>8</v>
      </c>
      <c r="W28" s="1570">
        <f t="shared" si="14"/>
        <v>100</v>
      </c>
      <c r="X28" s="1563"/>
      <c r="Y28" s="3437"/>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37"/>
      <c r="Q29" s="1568" t="str">
        <f t="shared" si="11"/>
        <v>有无电梯</v>
      </c>
      <c r="R29" s="1569" t="s">
        <v>8</v>
      </c>
      <c r="S29" s="1570">
        <f t="shared" si="12"/>
        <v>100</v>
      </c>
      <c r="T29" s="1569" t="s">
        <v>8</v>
      </c>
      <c r="U29" s="1570">
        <f t="shared" si="13"/>
        <v>100</v>
      </c>
      <c r="V29" s="1569" t="s">
        <v>8</v>
      </c>
      <c r="W29" s="1570">
        <f t="shared" si="14"/>
        <v>100</v>
      </c>
      <c r="X29" s="1563"/>
      <c r="Y29" s="3437"/>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37"/>
      <c r="Q30" s="1568" t="str">
        <f t="shared" si="11"/>
        <v>建筑面积</v>
      </c>
      <c r="R30" s="1569" t="s">
        <v>8</v>
      </c>
      <c r="S30" s="1570" t="e">
        <f t="shared" si="12"/>
        <v>#N/A</v>
      </c>
      <c r="T30" s="1569" t="s">
        <v>8</v>
      </c>
      <c r="U30" s="1570" t="e">
        <f t="shared" si="13"/>
        <v>#N/A</v>
      </c>
      <c r="V30" s="1569" t="s">
        <v>8</v>
      </c>
      <c r="W30" s="1570" t="e">
        <f t="shared" si="14"/>
        <v>#N/A</v>
      </c>
      <c r="X30" s="1563"/>
      <c r="Y30" s="3437"/>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37"/>
      <c r="Q31" s="1149" t="str">
        <f t="shared" si="11"/>
        <v>是否封闭</v>
      </c>
      <c r="R31" s="1564" t="s">
        <v>8</v>
      </c>
      <c r="S31" s="1565">
        <f t="shared" si="12"/>
        <v>100</v>
      </c>
      <c r="T31" s="1564" t="s">
        <v>8</v>
      </c>
      <c r="U31" s="1565">
        <f t="shared" si="13"/>
        <v>100</v>
      </c>
      <c r="V31" s="1564" t="s">
        <v>8</v>
      </c>
      <c r="W31" s="1565">
        <f t="shared" si="14"/>
        <v>100</v>
      </c>
      <c r="X31" s="1566"/>
      <c r="Y31" s="3437"/>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37" t="s">
        <v>546</v>
      </c>
      <c r="Q32" s="1568">
        <f t="shared" si="11"/>
        <v>111</v>
      </c>
      <c r="R32" s="1569" t="s">
        <v>8</v>
      </c>
      <c r="S32" s="1570">
        <f t="shared" si="12"/>
        <v>100</v>
      </c>
      <c r="T32" s="1569" t="s">
        <v>8</v>
      </c>
      <c r="U32" s="1570">
        <f t="shared" si="13"/>
        <v>100</v>
      </c>
      <c r="V32" s="1569" t="s">
        <v>8</v>
      </c>
      <c r="W32" s="1570">
        <f t="shared" si="14"/>
        <v>100</v>
      </c>
      <c r="X32" s="1563"/>
      <c r="Y32" s="3437"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37"/>
      <c r="Q33" s="1568">
        <f t="shared" si="11"/>
        <v>111</v>
      </c>
      <c r="R33" s="1569" t="s">
        <v>8</v>
      </c>
      <c r="S33" s="1570">
        <f t="shared" si="12"/>
        <v>100</v>
      </c>
      <c r="T33" s="1569" t="s">
        <v>8</v>
      </c>
      <c r="U33" s="1570">
        <f t="shared" si="13"/>
        <v>100</v>
      </c>
      <c r="V33" s="1569" t="s">
        <v>8</v>
      </c>
      <c r="W33" s="1570">
        <f t="shared" si="14"/>
        <v>100</v>
      </c>
      <c r="X33" s="1563"/>
      <c r="Y33" s="3437"/>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37"/>
      <c r="Q34" s="1568">
        <f t="shared" si="11"/>
        <v>111</v>
      </c>
      <c r="R34" s="1569" t="s">
        <v>8</v>
      </c>
      <c r="S34" s="1570">
        <f t="shared" si="12"/>
        <v>100</v>
      </c>
      <c r="T34" s="1569" t="s">
        <v>8</v>
      </c>
      <c r="U34" s="1570">
        <f t="shared" si="13"/>
        <v>100</v>
      </c>
      <c r="V34" s="1569" t="s">
        <v>8</v>
      </c>
      <c r="W34" s="1570">
        <f t="shared" si="14"/>
        <v>100</v>
      </c>
      <c r="X34" s="1563"/>
      <c r="Y34" s="3437"/>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32" t="str">
        <f>A35</f>
        <v>成交单价（元/平方米）</v>
      </c>
      <c r="Q35" s="3432"/>
      <c r="R35" s="3511">
        <f>E35</f>
        <v>0</v>
      </c>
      <c r="S35" s="3511"/>
      <c r="T35" s="3511">
        <f>G35</f>
        <v>0</v>
      </c>
      <c r="U35" s="3511"/>
      <c r="V35" s="3511">
        <f>I35</f>
        <v>0</v>
      </c>
      <c r="W35" s="3511"/>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32" t="str">
        <f>A36</f>
        <v>比较价格（元/平方米）</v>
      </c>
      <c r="Q36" s="3432"/>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55"/>
      <c r="Y36" s="1555"/>
      <c r="Z36" s="1555"/>
      <c r="AA36" s="1555"/>
      <c r="AB36" s="1555"/>
      <c r="AC36" s="1555"/>
    </row>
    <row r="37" spans="1:29" ht="15.75" thickBot="1">
      <c r="A37" s="620" t="s">
        <v>2933</v>
      </c>
      <c r="B37" s="621"/>
      <c r="C37" s="2657" t="e">
        <f>R37</f>
        <v>#DIV/0!</v>
      </c>
      <c r="D37" s="2657"/>
      <c r="E37" s="2657"/>
      <c r="F37" s="2657"/>
      <c r="G37" s="2657"/>
      <c r="H37" s="2657"/>
      <c r="I37" s="2657"/>
      <c r="J37" s="2657"/>
      <c r="K37" s="1609"/>
      <c r="L37" s="2141"/>
      <c r="M37" s="2142"/>
      <c r="N37" s="2142"/>
      <c r="O37" s="2142"/>
      <c r="P37" s="3453" t="str">
        <f>A37</f>
        <v>估价对象XX用房的比较价格（楼面单价，元/平方米）</v>
      </c>
      <c r="Q37" s="3454"/>
      <c r="R37" s="3512" t="e">
        <f>IF(F1="售价",ROUND(AVERAGE(R36:V36),0),ROUND(AVERAGE(R36:V36),1))</f>
        <v>#DIV/0!</v>
      </c>
      <c r="S37" s="3512"/>
      <c r="T37" s="3512"/>
      <c r="U37" s="3512"/>
      <c r="V37" s="3512"/>
      <c r="W37" s="3512"/>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3" t="s">
        <v>2303</v>
      </c>
      <c r="D1" s="3544"/>
      <c r="E1" s="3544"/>
      <c r="F1" s="3544"/>
      <c r="G1" s="3544"/>
      <c r="H1" s="3544"/>
      <c r="I1" s="3544"/>
      <c r="J1" s="3544"/>
      <c r="K1" s="3544"/>
      <c r="L1" s="3544"/>
      <c r="M1" s="3544"/>
      <c r="N1" s="3544"/>
      <c r="O1" s="3544"/>
      <c r="P1" s="3544"/>
      <c r="Q1" s="3544"/>
      <c r="R1" s="3544"/>
      <c r="S1" s="3545"/>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0" t="s">
        <v>20</v>
      </c>
      <c r="D22" s="3541"/>
      <c r="E22" s="3541"/>
      <c r="F22" s="3541"/>
      <c r="G22" s="3541"/>
      <c r="H22" s="3541"/>
      <c r="I22" s="3541"/>
      <c r="J22" s="3541"/>
      <c r="K22" s="3541"/>
      <c r="L22" s="3541"/>
      <c r="M22" s="3541"/>
      <c r="N22" s="3541"/>
      <c r="O22" s="3541"/>
      <c r="P22" s="3541"/>
      <c r="Q22" s="3542"/>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9" t="s">
        <v>2037</v>
      </c>
      <c r="B1" s="3249"/>
      <c r="C1" s="3249"/>
      <c r="D1" s="3249"/>
      <c r="E1" s="3249"/>
      <c r="F1" s="3249"/>
      <c r="G1" s="3249"/>
      <c r="H1" s="3249"/>
      <c r="I1" s="3249"/>
      <c r="J1" s="3249"/>
      <c r="K1" s="3249"/>
      <c r="L1" s="3249"/>
      <c r="M1" s="3249"/>
      <c r="N1" s="3249"/>
      <c r="O1" s="3249"/>
      <c r="P1" s="3249"/>
      <c r="Q1" s="3249"/>
      <c r="R1" s="3249"/>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0" t="s">
        <v>2028</v>
      </c>
      <c r="B3" s="3250" t="s">
        <v>2731</v>
      </c>
      <c r="C3" s="3251" t="s">
        <v>2029</v>
      </c>
      <c r="D3" s="3250" t="s">
        <v>2735</v>
      </c>
      <c r="E3" s="3253" t="s">
        <v>2030</v>
      </c>
      <c r="F3" s="3253"/>
      <c r="G3" s="3253"/>
      <c r="H3" s="3253" t="s">
        <v>2031</v>
      </c>
      <c r="I3" s="3253"/>
      <c r="J3" s="3253"/>
      <c r="K3" s="3251" t="s">
        <v>2032</v>
      </c>
      <c r="L3" s="3251" t="s">
        <v>2033</v>
      </c>
      <c r="M3" s="3250" t="s">
        <v>2732</v>
      </c>
      <c r="N3" s="3252" t="str">
        <f>"（分摊）"&amp;项目基本情况!B16&amp;"国有建设用地使用权面积/㎡"</f>
        <v>（分摊）出让国有建设用地使用权面积/㎡</v>
      </c>
      <c r="O3" s="3250" t="s">
        <v>2062</v>
      </c>
      <c r="P3" s="3251" t="s">
        <v>2042</v>
      </c>
      <c r="Q3" s="3251" t="s">
        <v>2063</v>
      </c>
      <c r="R3" s="3251" t="s">
        <v>2034</v>
      </c>
    </row>
    <row r="4" spans="1:18" ht="36.75" customHeight="1">
      <c r="A4" s="3250"/>
      <c r="B4" s="3250"/>
      <c r="C4" s="3251"/>
      <c r="D4" s="3250"/>
      <c r="E4" s="2670" t="s">
        <v>2041</v>
      </c>
      <c r="F4" s="2670" t="s">
        <v>2744</v>
      </c>
      <c r="G4" s="2670" t="s">
        <v>2035</v>
      </c>
      <c r="H4" s="2670" t="s">
        <v>2036</v>
      </c>
      <c r="I4" s="2670" t="s">
        <v>2745</v>
      </c>
      <c r="J4" s="2670" t="s">
        <v>2035</v>
      </c>
      <c r="K4" s="3251"/>
      <c r="L4" s="3251"/>
      <c r="M4" s="3250"/>
      <c r="N4" s="3252"/>
      <c r="O4" s="3250"/>
      <c r="P4" s="3251"/>
      <c r="Q4" s="3251"/>
      <c r="R4" s="3251"/>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17698</v>
      </c>
      <c r="Q5" s="1807">
        <f ca="1">结果表!D42</f>
        <v>5175</v>
      </c>
      <c r="R5" s="1808">
        <f ca="1">结果表!C42</f>
        <v>109501</v>
      </c>
    </row>
    <row r="6" spans="1:18">
      <c r="A6" s="3254" t="str">
        <f>IF(项目基本情况!B9="市场价格","——","抵押价格")</f>
        <v>抵押价格</v>
      </c>
      <c r="B6" s="3255"/>
      <c r="C6" s="3255"/>
      <c r="D6" s="3255"/>
      <c r="E6" s="3255"/>
      <c r="F6" s="3255"/>
      <c r="G6" s="3255"/>
      <c r="H6" s="3255"/>
      <c r="I6" s="3255"/>
      <c r="J6" s="3255"/>
      <c r="K6" s="3255"/>
      <c r="L6" s="3255"/>
      <c r="M6" s="3255"/>
      <c r="N6" s="3255"/>
      <c r="O6" s="3255"/>
      <c r="P6" s="3255"/>
      <c r="Q6" s="3256"/>
      <c r="R6" s="1809">
        <f ca="1">结果表!O39</f>
        <v>109501</v>
      </c>
    </row>
    <row r="7" spans="1:18">
      <c r="A7" s="3254" t="str">
        <f>IF(项目基本情况!B9="市场价格","——",IF(项目基本情况!E8="已注销及未注销","抵押担保权已注销时的抵押价格","——"))</f>
        <v>——</v>
      </c>
      <c r="B7" s="3255"/>
      <c r="C7" s="3255"/>
      <c r="D7" s="3255"/>
      <c r="E7" s="3255"/>
      <c r="F7" s="3255"/>
      <c r="G7" s="3255"/>
      <c r="H7" s="3255"/>
      <c r="I7" s="3255"/>
      <c r="J7" s="3255"/>
      <c r="K7" s="3255"/>
      <c r="L7" s="3255"/>
      <c r="M7" s="3255"/>
      <c r="N7" s="3255"/>
      <c r="O7" s="3255"/>
      <c r="P7" s="3255"/>
      <c r="Q7" s="3256"/>
      <c r="R7" s="1809" t="str">
        <f>结果表!O40</f>
        <v>——</v>
      </c>
    </row>
    <row r="8" spans="1:18">
      <c r="A8" s="3254">
        <f>IF(项目基本情况!B9="市场价格","——",项目基本情况!E9)</f>
        <v>0</v>
      </c>
      <c r="B8" s="3255"/>
      <c r="C8" s="3255"/>
      <c r="D8" s="3255"/>
      <c r="E8" s="3255"/>
      <c r="F8" s="3255"/>
      <c r="G8" s="3255"/>
      <c r="H8" s="3255"/>
      <c r="I8" s="3255"/>
      <c r="J8" s="3255"/>
      <c r="K8" s="3255"/>
      <c r="L8" s="3255"/>
      <c r="M8" s="3255"/>
      <c r="N8" s="3255"/>
      <c r="O8" s="3255"/>
      <c r="P8" s="3255"/>
      <c r="Q8" s="3256"/>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7" t="s">
        <v>2064</v>
      </c>
      <c r="B1" s="3257"/>
      <c r="C1" s="3257"/>
      <c r="D1" s="3257"/>
    </row>
    <row r="2" spans="1:4" ht="47.25" customHeight="1">
      <c r="A2" s="3261" t="str">
        <f>"1.权利限制："&amp;项目基本情况!L24&amp;"未设定租赁等其他他项权利。"</f>
        <v>1.权利限制：根据估价对象《不动产权证书》原件、《国有土地使用权》复印件，截至估价期日，估价对象抵押权未见登记。未设定租赁等其他他项权利。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7"/>
      <c r="C3" s="3257"/>
      <c r="D3" s="3257"/>
    </row>
    <row r="4" spans="1:4" ht="36.75" customHeight="1">
      <c r="A4" s="3257" t="str">
        <f>"3.估价规划限制条件：详见"&amp;项目基本情况!E21&amp;"。"</f>
        <v>3.估价规划限制条件：详见《建设工程规划许可证》[]、《出让合同》[]。</v>
      </c>
      <c r="B4" s="3257"/>
      <c r="C4" s="3257"/>
      <c r="D4" s="3257"/>
    </row>
    <row r="5" spans="1:4">
      <c r="A5" s="3260" t="s">
        <v>2065</v>
      </c>
      <c r="B5" s="3260"/>
      <c r="C5" s="3260"/>
      <c r="D5" s="3260"/>
    </row>
    <row r="6" spans="1:4">
      <c r="A6" s="3257" t="s">
        <v>2043</v>
      </c>
      <c r="B6" s="3257"/>
      <c r="C6" s="3257"/>
      <c r="D6" s="3257"/>
    </row>
    <row r="7" spans="1:4" ht="33" customHeight="1">
      <c r="A7" s="3257" t="s">
        <v>2575</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（1）根据估价对象《不动产权证书》原件、《国有土地使用权》复印件，截至估价期日，估价对象抵押权未见登记。</v>
      </c>
      <c r="B11" s="3259"/>
      <c r="C11" s="3259"/>
      <c r="D11" s="3259"/>
    </row>
    <row r="12" spans="1:4" ht="168" customHeight="1">
      <c r="A12" s="3260" t="s">
        <v>2067</v>
      </c>
      <c r="B12" s="3260"/>
      <c r="C12" s="3260"/>
      <c r="D12" s="3260"/>
    </row>
    <row r="13" spans="1:4">
      <c r="A13" s="3258" t="s">
        <v>2746</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2702</v>
      </c>
      <c r="B17" s="3257"/>
      <c r="C17" s="3257"/>
      <c r="D17" s="3257"/>
    </row>
    <row r="18" spans="1:4">
      <c r="A18" s="3257" t="s">
        <v>2694</v>
      </c>
      <c r="B18" s="3257"/>
      <c r="C18" s="3257"/>
      <c r="D18" s="3257"/>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57" t="s">
        <v>2699</v>
      </c>
      <c r="B23" s="3257"/>
      <c r="C23" s="3257"/>
      <c r="D23" s="3257"/>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9" t="s">
        <v>53</v>
      </c>
      <c r="B15" s="3270" t="s">
        <v>842</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833</v>
      </c>
    </row>
    <row r="25" spans="1:3" ht="14.25">
      <c r="A25" s="3268"/>
      <c r="B25" s="3272"/>
      <c r="C25" s="1174" t="s">
        <v>834</v>
      </c>
    </row>
    <row r="26" spans="1:3" ht="14.25">
      <c r="A26" s="3268"/>
      <c r="B26" s="3272"/>
      <c r="C26" s="1174" t="s">
        <v>835</v>
      </c>
    </row>
    <row r="27" spans="1:3" ht="14.25">
      <c r="A27" s="3268"/>
      <c r="B27" s="3272"/>
      <c r="C27" s="1174" t="s">
        <v>836</v>
      </c>
    </row>
    <row r="28" spans="1:3" ht="14.25">
      <c r="A28" s="3268"/>
      <c r="B28" s="3272"/>
      <c r="C28" s="1174" t="s">
        <v>837</v>
      </c>
    </row>
    <row r="29" spans="1:3" ht="14.25">
      <c r="A29" s="3268"/>
      <c r="B29" s="3272"/>
      <c r="C29" s="1174" t="s">
        <v>838</v>
      </c>
    </row>
    <row r="30" spans="1:3" ht="14.25">
      <c r="A30" s="3268"/>
      <c r="B30" s="3272"/>
      <c r="C30" s="1174" t="s">
        <v>839</v>
      </c>
    </row>
    <row r="31" spans="1:3" ht="14.25">
      <c r="A31" s="3268"/>
      <c r="B31" s="3272"/>
      <c r="C31" s="1174" t="s">
        <v>840</v>
      </c>
    </row>
    <row r="32" spans="1:3" ht="14.25">
      <c r="A32" s="3268"/>
      <c r="B32" s="3272"/>
      <c r="C32" s="1174" t="s">
        <v>1643</v>
      </c>
    </row>
    <row r="33" spans="1:3" ht="14.25">
      <c r="A33" s="3268"/>
      <c r="B33" s="3262" t="s">
        <v>1649</v>
      </c>
      <c r="C33" s="1174" t="s">
        <v>1644</v>
      </c>
    </row>
    <row r="34" spans="1:3" ht="14.25">
      <c r="A34" s="3268"/>
      <c r="B34" s="3263"/>
      <c r="C34" s="1179" t="s">
        <v>1645</v>
      </c>
    </row>
    <row r="35" spans="1:3" ht="14.25">
      <c r="A35" s="3268"/>
      <c r="B35" s="3263"/>
      <c r="C35" s="1180" t="s">
        <v>1646</v>
      </c>
    </row>
    <row r="36" spans="1:3" ht="14.25">
      <c r="A36" s="3268"/>
      <c r="B36" s="3263"/>
      <c r="C36" s="1180" t="s">
        <v>1647</v>
      </c>
    </row>
    <row r="37" spans="1:3" ht="14.25">
      <c r="A37" s="3268"/>
      <c r="B37" s="3264"/>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43244</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2979</v>
      </c>
      <c r="B12" s="2340">
        <v>1120110054</v>
      </c>
      <c r="C12" s="3027">
        <v>43937</v>
      </c>
      <c r="D12" s="2340" t="s">
        <v>2979</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3" t="s">
        <v>1925</v>
      </c>
      <c r="B25" s="3273"/>
      <c r="C25" s="3273"/>
      <c r="D25" s="3273"/>
      <c r="E25" s="3273"/>
      <c r="F25" s="3273"/>
      <c r="G25" s="3273"/>
    </row>
    <row r="26" spans="1:7" ht="20.25" customHeight="1">
      <c r="A26" s="3274" t="s">
        <v>1926</v>
      </c>
      <c r="B26" s="3274"/>
      <c r="C26" s="3274"/>
      <c r="D26" s="3274" t="s">
        <v>1927</v>
      </c>
      <c r="E26" s="3274"/>
      <c r="F26" s="3274"/>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3201</v>
      </c>
      <c r="C8" s="1547" t="s">
        <v>1712</v>
      </c>
      <c r="F8" s="9" t="s">
        <v>154</v>
      </c>
      <c r="H8" s="9"/>
      <c r="I8" s="9" t="s">
        <v>107</v>
      </c>
    </row>
    <row r="9" spans="1:23">
      <c r="A9" s="8" t="s">
        <v>108</v>
      </c>
      <c r="B9" s="1147" t="s">
        <v>3072</v>
      </c>
      <c r="C9" s="1547" t="s">
        <v>1713</v>
      </c>
      <c r="F9" s="9" t="s">
        <v>109</v>
      </c>
      <c r="H9" s="9"/>
    </row>
    <row r="10" spans="1:23">
      <c r="A10" s="8" t="s">
        <v>110</v>
      </c>
      <c r="B10" s="1147" t="s">
        <v>3073</v>
      </c>
      <c r="C10" s="1547" t="s">
        <v>1714</v>
      </c>
      <c r="F10" s="9" t="s">
        <v>6</v>
      </c>
    </row>
    <row r="11" spans="1:23">
      <c r="A11" s="8" t="s">
        <v>111</v>
      </c>
      <c r="B11" s="1147" t="s">
        <v>3074</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2956</v>
      </c>
      <c r="C18" s="1550"/>
    </row>
    <row r="19" spans="1:3">
      <c r="A19" s="8" t="s">
        <v>119</v>
      </c>
      <c r="B19" s="3132" t="s">
        <v>2964</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5"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5"/>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5"/>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5"/>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5"/>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2018-05-24T01:03:28Z</dcterms:modified>
</cp:coreProperties>
</file>