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066大兴法院-经海四路\"/>
    </mc:Choice>
  </mc:AlternateContent>
  <xr:revisionPtr revIDLastSave="0" documentId="13_ncr:1_{1C43CDC5-08F0-4EBE-ADD9-94106065A67F}" xr6:coauthVersionLast="45" xr6:coauthVersionMax="45" xr10:uidLastSave="{00000000-0000-0000-0000-000000000000}"/>
  <bookViews>
    <workbookView xWindow="870" yWindow="870" windowWidth="21840" windowHeight="13140" tabRatio="899" firstSheet="15"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收益法" sheetId="15" r:id="rId20"/>
    <sheet name="收益法 (元)" sheetId="67"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state="hidden" r:id="rId26"/>
    <sheet name="比较法-工业租金" sheetId="85" r:id="rId27"/>
    <sheet name="比较法-工业售价" sheetId="37"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成本法" sheetId="68"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售价案例" sheetId="81" r:id="rId42"/>
    <sheet name="因素修正幅度" sheetId="65" state="hidden" r:id="rId43"/>
    <sheet name="区片价（范围）" sheetId="75" state="hidden" r:id="rId44"/>
    <sheet name="地价-分区" sheetId="79" state="hidden" r:id="rId45"/>
    <sheet name="地价" sheetId="71" state="hidden" r:id="rId46"/>
    <sheet name="租金案例" sheetId="80" r:id="rId47"/>
    <sheet name="京东贝光电产业园" sheetId="82" r:id="rId48"/>
    <sheet name="国锐金嵿" sheetId="84" r:id="rId49"/>
    <sheet name="富兴国际" sheetId="83" r:id="rId50"/>
    <sheet name="存贷款利率" sheetId="73" state="hidden" r:id="rId51"/>
  </sheets>
  <externalReferences>
    <externalReference r:id="rId52"/>
    <externalReference r:id="rId53"/>
    <externalReference r:id="rId54"/>
  </externalReferences>
  <definedNames>
    <definedName name="_xlnm._FilterDatabase" localSheetId="25"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'比较法-工业售价'!$A$1:$L$43</definedName>
    <definedName name="_xlnm._FilterDatabase" localSheetId="26" hidden="1">'比较法-工业租金'!$A$1:$L$43</definedName>
    <definedName name="_xlnm._FilterDatabase" localSheetId="24" hidden="1">'比较法-商业'!$A$1:$L$49</definedName>
    <definedName name="_xlnm._FilterDatabase" localSheetId="23" hidden="1">'比较法-住宅'!$A$1:$L$49</definedName>
    <definedName name="_xlnm._FilterDatabase" localSheetId="48" hidden="1">国锐金嵿!$A$4:$CH$67</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'比较法-工业售价'!$A$1:$K$48,'比较法-工业售价'!$A$51:$M$113</definedName>
    <definedName name="_xlnm.Print_Area" localSheetId="26">'比较法-工业租金'!$A$1:$K$48,'比较法-工业租金'!$A$51:$M$113</definedName>
    <definedName name="_xlnm.Print_Area" localSheetId="24">'比较法-商业'!$A$1:$K$54,'比较法-商业'!$A$57:$M$131</definedName>
    <definedName name="_xlnm.Print_Area" localSheetId="23">'比较法-住宅'!$A$1:$K$54,'比较法-住宅'!$A$57:$M$131</definedName>
    <definedName name="_xlnm.Print_Area" localSheetId="35">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48">国锐金嵿!$A$1:$CH$58</definedName>
    <definedName name="_xlnm.Print_Area" localSheetId="33">'基准地价（汇总）'!$A$1:$E$13</definedName>
    <definedName name="_xlnm.Print_Area" localSheetId="36">基准地价修正!$A$1:$J$44,基准地价修正!$R$1:$V$16</definedName>
    <definedName name="_xlnm.Print_Area" localSheetId="18">假设开发法!$A$1:$K$32</definedName>
    <definedName name="_xlnm.Print_Area" localSheetId="17">结果表!$A$1:$I$127</definedName>
    <definedName name="_xlnm.Print_Area" localSheetId="1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49">富兴国际!$1:$2</definedName>
    <definedName name="_xlnm.Print_Titles" localSheetId="48">国锐金嵿!$1:$4</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 localSheetId="26">'比较法-工业租金'!$B$95:$M$95</definedName>
    <definedName name="工业公共部分装修">'比较法-工业售价'!$B$95:$M$95</definedName>
    <definedName name="工业基础设施水平" localSheetId="26">'比较法-工业租金'!$B$102:$M$102</definedName>
    <definedName name="工业基础设施水平">'比较法-工业售价'!$B$102:$M$102</definedName>
    <definedName name="工业建筑结构" localSheetId="26">'比较法-工业租金'!$B$93:$M$93</definedName>
    <definedName name="工业建筑结构">'比较法-工业售价'!$B$93:$M$93</definedName>
    <definedName name="工业建筑类型" localSheetId="26">'比较法-工业租金'!$B$88:$M$88</definedName>
    <definedName name="工业建筑类型">'比较法-工业售价'!$B$88:$M$88</definedName>
    <definedName name="工业交易情况" localSheetId="26">'比较法-工业租金'!$A$55:$M$55</definedName>
    <definedName name="工业交易情况">'比较法-工业售价'!$A$55:$M$55</definedName>
    <definedName name="工业内部装修" localSheetId="26">'比较法-工业租金'!$B$104:$M$104</definedName>
    <definedName name="工业内部装修">'比较法-工业售价'!$B$104:$M$104</definedName>
    <definedName name="工业物业管理" localSheetId="26">'比较法-工业租金'!$B$100:$M$100</definedName>
    <definedName name="工业物业管理">'比较法-工业售价'!$B$100:$M$100</definedName>
    <definedName name="工业用途" localSheetId="26">'比较法-工业租金'!$B$57:$M$57</definedName>
    <definedName name="工业用途">'比较法-工业售价'!$B$57:$M$57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5" i="37" l="1"/>
  <c r="T21" i="1"/>
  <c r="D92" i="37"/>
  <c r="E92" i="37" s="1"/>
  <c r="F92" i="37" s="1"/>
  <c r="G92" i="37" s="1"/>
  <c r="M39" i="37" l="1"/>
  <c r="I30" i="85" l="1"/>
  <c r="G30" i="85"/>
  <c r="E30" i="85"/>
  <c r="M21" i="1"/>
  <c r="N22" i="1" s="1"/>
  <c r="N6" i="1" s="1"/>
  <c r="C33" i="37" s="1"/>
  <c r="E5" i="37" l="1"/>
  <c r="I30" i="37"/>
  <c r="G30" i="37"/>
  <c r="E30" i="37"/>
  <c r="I5" i="37"/>
  <c r="I7" i="37"/>
  <c r="G7" i="37"/>
  <c r="E7" i="37"/>
  <c r="I41" i="37"/>
  <c r="G41" i="37"/>
  <c r="E41" i="37"/>
  <c r="B112" i="85"/>
  <c r="H40" i="85" s="1"/>
  <c r="B110" i="85"/>
  <c r="B108" i="85"/>
  <c r="H38" i="85" s="1"/>
  <c r="AB38" i="85" s="1"/>
  <c r="D107" i="85"/>
  <c r="E107" i="85" s="1"/>
  <c r="F107" i="85" s="1"/>
  <c r="G107" i="85" s="1"/>
  <c r="H107" i="85" s="1"/>
  <c r="I107" i="85" s="1"/>
  <c r="J107" i="85" s="1"/>
  <c r="K107" i="85" s="1"/>
  <c r="L107" i="85" s="1"/>
  <c r="M107" i="85" s="1"/>
  <c r="D105" i="85"/>
  <c r="E105" i="85" s="1"/>
  <c r="F105" i="85" s="1"/>
  <c r="G105" i="85" s="1"/>
  <c r="D103" i="85"/>
  <c r="E103" i="85" s="1"/>
  <c r="F103" i="85" s="1"/>
  <c r="G103" i="85" s="1"/>
  <c r="H103" i="85" s="1"/>
  <c r="I103" i="85" s="1"/>
  <c r="J103" i="85" s="1"/>
  <c r="K103" i="85" s="1"/>
  <c r="L103" i="85" s="1"/>
  <c r="M103" i="85" s="1"/>
  <c r="D101" i="85"/>
  <c r="E101" i="85" s="1"/>
  <c r="F101" i="85" s="1"/>
  <c r="G101" i="85" s="1"/>
  <c r="H101" i="85" s="1"/>
  <c r="I101" i="85" s="1"/>
  <c r="J101" i="85" s="1"/>
  <c r="K101" i="85" s="1"/>
  <c r="L101" i="85" s="1"/>
  <c r="M101" i="85" s="1"/>
  <c r="D99" i="85"/>
  <c r="E99" i="85" s="1"/>
  <c r="F99" i="85" s="1"/>
  <c r="G99" i="85" s="1"/>
  <c r="G97" i="85"/>
  <c r="F97" i="85"/>
  <c r="E97" i="85"/>
  <c r="D97" i="85"/>
  <c r="C97" i="85"/>
  <c r="D96" i="85"/>
  <c r="E96" i="85" s="1"/>
  <c r="F96" i="85" s="1"/>
  <c r="G96" i="85" s="1"/>
  <c r="H96" i="85" s="1"/>
  <c r="I96" i="85" s="1"/>
  <c r="J96" i="85" s="1"/>
  <c r="K96" i="85" s="1"/>
  <c r="L96" i="85" s="1"/>
  <c r="M96" i="85" s="1"/>
  <c r="D94" i="85"/>
  <c r="E94" i="85" s="1"/>
  <c r="F94" i="85" s="1"/>
  <c r="G94" i="85" s="1"/>
  <c r="H94" i="85" s="1"/>
  <c r="I94" i="85" s="1"/>
  <c r="J94" i="85" s="1"/>
  <c r="K94" i="85" s="1"/>
  <c r="L94" i="85" s="1"/>
  <c r="M94" i="85" s="1"/>
  <c r="D92" i="85"/>
  <c r="E92" i="85" s="1"/>
  <c r="F92" i="85" s="1"/>
  <c r="G92" i="85" s="1"/>
  <c r="M90" i="85"/>
  <c r="L90" i="85"/>
  <c r="K90" i="85"/>
  <c r="J90" i="85"/>
  <c r="I90" i="85"/>
  <c r="H90" i="85"/>
  <c r="G90" i="85"/>
  <c r="F90" i="85"/>
  <c r="E90" i="85"/>
  <c r="D90" i="85"/>
  <c r="C90" i="85"/>
  <c r="D89" i="85"/>
  <c r="E89" i="85" s="1"/>
  <c r="F89" i="85" s="1"/>
  <c r="G89" i="85" s="1"/>
  <c r="H89" i="85" s="1"/>
  <c r="I89" i="85" s="1"/>
  <c r="J89" i="85" s="1"/>
  <c r="K89" i="85" s="1"/>
  <c r="L89" i="85" s="1"/>
  <c r="M89" i="85" s="1"/>
  <c r="B86" i="85"/>
  <c r="J28" i="85" s="1"/>
  <c r="AC28" i="85" s="1"/>
  <c r="B84" i="85"/>
  <c r="J27" i="85" s="1"/>
  <c r="B82" i="85"/>
  <c r="J26" i="85" s="1"/>
  <c r="AC26" i="85" s="1"/>
  <c r="B80" i="85"/>
  <c r="J25" i="85" s="1"/>
  <c r="D79" i="85"/>
  <c r="E79" i="85" s="1"/>
  <c r="F79" i="85" s="1"/>
  <c r="G79" i="85" s="1"/>
  <c r="D77" i="85"/>
  <c r="E77" i="85" s="1"/>
  <c r="F77" i="85" s="1"/>
  <c r="G77" i="85" s="1"/>
  <c r="D75" i="85"/>
  <c r="E75" i="85" s="1"/>
  <c r="F75" i="85" s="1"/>
  <c r="G75" i="85" s="1"/>
  <c r="D73" i="85"/>
  <c r="E73" i="85" s="1"/>
  <c r="F73" i="85" s="1"/>
  <c r="G73" i="85" s="1"/>
  <c r="D71" i="85"/>
  <c r="E71" i="85" s="1"/>
  <c r="F71" i="85" s="1"/>
  <c r="G71" i="85" s="1"/>
  <c r="B68" i="85"/>
  <c r="J14" i="85" s="1"/>
  <c r="W14" i="85" s="1"/>
  <c r="B66" i="85"/>
  <c r="H13" i="85" s="1"/>
  <c r="B64" i="85"/>
  <c r="H12" i="85" s="1"/>
  <c r="AB12" i="85" s="1"/>
  <c r="D63" i="85"/>
  <c r="E63" i="85" s="1"/>
  <c r="F63" i="85" s="1"/>
  <c r="G63" i="85" s="1"/>
  <c r="H63" i="85" s="1"/>
  <c r="I63" i="85" s="1"/>
  <c r="J63" i="85" s="1"/>
  <c r="K63" i="85" s="1"/>
  <c r="L63" i="85" s="1"/>
  <c r="M63" i="85" s="1"/>
  <c r="M61" i="85"/>
  <c r="L61" i="85"/>
  <c r="K61" i="85"/>
  <c r="J61" i="85"/>
  <c r="I61" i="85"/>
  <c r="H61" i="85"/>
  <c r="G61" i="85"/>
  <c r="F61" i="85"/>
  <c r="E61" i="85"/>
  <c r="D61" i="85"/>
  <c r="C61" i="85"/>
  <c r="C57" i="85"/>
  <c r="I48" i="85"/>
  <c r="J48" i="85" s="1"/>
  <c r="G48" i="85"/>
  <c r="H48" i="85" s="1"/>
  <c r="E48" i="85"/>
  <c r="F48" i="85" s="1"/>
  <c r="P43" i="85"/>
  <c r="P42" i="85"/>
  <c r="K42" i="85"/>
  <c r="V41" i="85"/>
  <c r="T41" i="85"/>
  <c r="R41" i="85"/>
  <c r="P41" i="85"/>
  <c r="Q40" i="85"/>
  <c r="Z40" i="85" s="1"/>
  <c r="Q39" i="85"/>
  <c r="Z39" i="85" s="1"/>
  <c r="J39" i="85"/>
  <c r="W39" i="85" s="1"/>
  <c r="H39" i="85"/>
  <c r="AB39" i="85" s="1"/>
  <c r="F39" i="85"/>
  <c r="AA39" i="85" s="1"/>
  <c r="Q38" i="85"/>
  <c r="Z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AC31" i="85" s="1"/>
  <c r="H31" i="85"/>
  <c r="AB31" i="85" s="1"/>
  <c r="F31" i="85"/>
  <c r="AA31" i="85" s="1"/>
  <c r="Q30" i="85"/>
  <c r="Z30" i="85" s="1"/>
  <c r="Q29" i="85"/>
  <c r="Z29" i="85" s="1"/>
  <c r="J29" i="85"/>
  <c r="AC29" i="85" s="1"/>
  <c r="H29" i="85"/>
  <c r="AB29" i="85" s="1"/>
  <c r="F29" i="85"/>
  <c r="AA29" i="85" s="1"/>
  <c r="Q28" i="85"/>
  <c r="Z28" i="85" s="1"/>
  <c r="H28" i="85"/>
  <c r="AB28" i="85" s="1"/>
  <c r="Q27" i="85"/>
  <c r="Z27" i="85" s="1"/>
  <c r="H27" i="85"/>
  <c r="AB27" i="85" s="1"/>
  <c r="Q26" i="85"/>
  <c r="Z26" i="85" s="1"/>
  <c r="H26" i="85"/>
  <c r="AB26" i="85" s="1"/>
  <c r="Q25" i="85"/>
  <c r="Z25" i="85" s="1"/>
  <c r="H25" i="85"/>
  <c r="AB25" i="85" s="1"/>
  <c r="Q23" i="85"/>
  <c r="Z23" i="85" s="1"/>
  <c r="H23" i="85"/>
  <c r="AB23" i="85" s="1"/>
  <c r="C23" i="85"/>
  <c r="Q21" i="85"/>
  <c r="Z21" i="85" s="1"/>
  <c r="H21" i="85"/>
  <c r="AB21" i="85" s="1"/>
  <c r="C21" i="85"/>
  <c r="Q19" i="85"/>
  <c r="Z19" i="85" s="1"/>
  <c r="J19" i="85"/>
  <c r="F19" i="85"/>
  <c r="AA19" i="85" s="1"/>
  <c r="C19" i="85"/>
  <c r="Q17" i="85"/>
  <c r="Z17" i="85" s="1"/>
  <c r="H17" i="85"/>
  <c r="AB17" i="85" s="1"/>
  <c r="C17" i="85"/>
  <c r="Q15" i="85"/>
  <c r="Z15" i="85" s="1"/>
  <c r="J15" i="85"/>
  <c r="AC15" i="85" s="1"/>
  <c r="F15" i="85"/>
  <c r="AA15" i="85" s="1"/>
  <c r="C15" i="85"/>
  <c r="Q14" i="85"/>
  <c r="Z14" i="85" s="1"/>
  <c r="H14" i="85"/>
  <c r="AB14" i="85" s="1"/>
  <c r="Q13" i="85"/>
  <c r="Z13" i="85" s="1"/>
  <c r="J13" i="85"/>
  <c r="AC13" i="85" s="1"/>
  <c r="F13" i="85"/>
  <c r="AA13" i="85" s="1"/>
  <c r="Q12" i="85"/>
  <c r="Z12" i="85" s="1"/>
  <c r="J12" i="85"/>
  <c r="AC12" i="85" s="1"/>
  <c r="F12" i="85"/>
  <c r="AA12" i="85" s="1"/>
  <c r="Q11" i="85"/>
  <c r="Z11" i="85" s="1"/>
  <c r="J11" i="85"/>
  <c r="AC11" i="85" s="1"/>
  <c r="H11" i="85"/>
  <c r="AB11" i="85" s="1"/>
  <c r="F11" i="85"/>
  <c r="AA11" i="85" s="1"/>
  <c r="Q10" i="85"/>
  <c r="Z10" i="85" s="1"/>
  <c r="J10" i="85"/>
  <c r="W10" i="85" s="1"/>
  <c r="H10" i="85"/>
  <c r="AB10" i="85" s="1"/>
  <c r="F10" i="85"/>
  <c r="AA10" i="85" s="1"/>
  <c r="Q9" i="85"/>
  <c r="Z9" i="85" s="1"/>
  <c r="J9" i="85"/>
  <c r="AC9" i="85" s="1"/>
  <c r="H9" i="85"/>
  <c r="AB9" i="85" s="1"/>
  <c r="F9" i="85"/>
  <c r="AA9" i="85" s="1"/>
  <c r="J8" i="85"/>
  <c r="W8" i="85" s="1"/>
  <c r="H8" i="85"/>
  <c r="AB8" i="85" s="1"/>
  <c r="F8" i="85"/>
  <c r="S8" i="85" s="1"/>
  <c r="D63" i="84"/>
  <c r="CF58" i="84"/>
  <c r="CD58" i="84"/>
  <c r="CA58" i="84"/>
  <c r="BY58" i="84"/>
  <c r="BV58" i="84"/>
  <c r="BT58" i="84"/>
  <c r="BM58" i="84"/>
  <c r="BJ58" i="84"/>
  <c r="BI58" i="84"/>
  <c r="BH58" i="84"/>
  <c r="BD58" i="84"/>
  <c r="BC58" i="84"/>
  <c r="AZ58" i="84"/>
  <c r="AY58" i="84"/>
  <c r="AX58" i="84"/>
  <c r="AW58" i="84"/>
  <c r="AT58" i="84"/>
  <c r="AS58" i="84"/>
  <c r="AP58" i="84"/>
  <c r="AO58" i="84"/>
  <c r="AN58" i="84"/>
  <c r="AK58" i="84"/>
  <c r="AJ58" i="84"/>
  <c r="AI58" i="84"/>
  <c r="AF58" i="84"/>
  <c r="AE58" i="84"/>
  <c r="AD58" i="84"/>
  <c r="AA58" i="84"/>
  <c r="Z58" i="84"/>
  <c r="X58" i="84"/>
  <c r="W58" i="84"/>
  <c r="V58" i="84"/>
  <c r="T58" i="84"/>
  <c r="R58" i="84"/>
  <c r="Q58" i="84"/>
  <c r="N58" i="84"/>
  <c r="H58" i="84"/>
  <c r="G58" i="84"/>
  <c r="D64" i="84" s="1"/>
  <c r="B58" i="84"/>
  <c r="CH57" i="84"/>
  <c r="CE57" i="84"/>
  <c r="BZ57" i="84"/>
  <c r="BU57" i="84"/>
  <c r="BP57" i="84"/>
  <c r="BF57" i="84"/>
  <c r="BA57" i="84"/>
  <c r="AV57" i="84"/>
  <c r="AQ57" i="84"/>
  <c r="AL57" i="84"/>
  <c r="AG57" i="84"/>
  <c r="AB57" i="84"/>
  <c r="U57" i="84"/>
  <c r="CH56" i="84"/>
  <c r="CE56" i="84"/>
  <c r="BZ56" i="84"/>
  <c r="BU56" i="84"/>
  <c r="BP56" i="84"/>
  <c r="BK56" i="84"/>
  <c r="BF56" i="84"/>
  <c r="BA56" i="84"/>
  <c r="AV56" i="84"/>
  <c r="AQ56" i="84"/>
  <c r="AL56" i="84"/>
  <c r="AG56" i="84"/>
  <c r="AB56" i="84"/>
  <c r="U56" i="84"/>
  <c r="M56" i="84"/>
  <c r="P56" i="84" s="1"/>
  <c r="CH55" i="84"/>
  <c r="CE55" i="84"/>
  <c r="BZ55" i="84"/>
  <c r="BU55" i="84"/>
  <c r="BP55" i="84"/>
  <c r="BK55" i="84"/>
  <c r="U55" i="84"/>
  <c r="CH54" i="84"/>
  <c r="CE54" i="84"/>
  <c r="BZ54" i="84"/>
  <c r="BU54" i="84"/>
  <c r="BP54" i="84"/>
  <c r="BK54" i="84"/>
  <c r="BF54" i="84"/>
  <c r="BB54" i="84"/>
  <c r="BA54" i="84"/>
  <c r="U54" i="84"/>
  <c r="CH53" i="84"/>
  <c r="CE53" i="84"/>
  <c r="BZ53" i="84"/>
  <c r="BU53" i="84"/>
  <c r="BP53" i="84"/>
  <c r="BK53" i="84"/>
  <c r="BF53" i="84"/>
  <c r="BB53" i="84"/>
  <c r="BA53" i="84"/>
  <c r="U53" i="84"/>
  <c r="CH52" i="84"/>
  <c r="CE52" i="84"/>
  <c r="BZ52" i="84"/>
  <c r="BU52" i="84"/>
  <c r="BP52" i="84"/>
  <c r="BK52" i="84"/>
  <c r="BF52" i="84"/>
  <c r="BA52" i="84"/>
  <c r="AQ52" i="84"/>
  <c r="U52" i="84"/>
  <c r="CH51" i="84"/>
  <c r="CE51" i="84"/>
  <c r="BZ51" i="84"/>
  <c r="BU51" i="84"/>
  <c r="BP51" i="84"/>
  <c r="BK51" i="84"/>
  <c r="BF51" i="84"/>
  <c r="BA51" i="84"/>
  <c r="AV51" i="84"/>
  <c r="AQ51" i="84"/>
  <c r="AL51" i="84"/>
  <c r="AG51" i="84"/>
  <c r="AB51" i="84"/>
  <c r="U51" i="84"/>
  <c r="P51" i="84"/>
  <c r="CH50" i="84"/>
  <c r="CE50" i="84"/>
  <c r="BZ50" i="84"/>
  <c r="BU50" i="84"/>
  <c r="BP50" i="84"/>
  <c r="BK50" i="84"/>
  <c r="BF50" i="84"/>
  <c r="BA50" i="84"/>
  <c r="AV50" i="84"/>
  <c r="AQ50" i="84"/>
  <c r="AL50" i="84"/>
  <c r="AG50" i="84"/>
  <c r="AB50" i="84"/>
  <c r="U50" i="84"/>
  <c r="P50" i="84"/>
  <c r="CH49" i="84"/>
  <c r="CE49" i="84"/>
  <c r="BZ49" i="84"/>
  <c r="BU49" i="84"/>
  <c r="BP49" i="84"/>
  <c r="BK49" i="84"/>
  <c r="BF49" i="84"/>
  <c r="BA49" i="84"/>
  <c r="AQ49" i="84"/>
  <c r="AL49" i="84"/>
  <c r="U49" i="84"/>
  <c r="CH48" i="84"/>
  <c r="CE48" i="84"/>
  <c r="BZ48" i="84"/>
  <c r="BU48" i="84"/>
  <c r="BP48" i="84"/>
  <c r="BK48" i="84"/>
  <c r="BF48" i="84"/>
  <c r="BB48" i="84"/>
  <c r="BA48" i="84"/>
  <c r="AQ48" i="84"/>
  <c r="AL48" i="84"/>
  <c r="U48" i="84"/>
  <c r="CH47" i="84"/>
  <c r="CE47" i="84"/>
  <c r="BZ47" i="84"/>
  <c r="BU47" i="84"/>
  <c r="BP47" i="84"/>
  <c r="BK47" i="84"/>
  <c r="BF47" i="84"/>
  <c r="BA47" i="84"/>
  <c r="AV47" i="84"/>
  <c r="AQ47" i="84"/>
  <c r="AL47" i="84"/>
  <c r="AG47" i="84"/>
  <c r="AB47" i="84"/>
  <c r="U47" i="84"/>
  <c r="CH46" i="84"/>
  <c r="CE46" i="84"/>
  <c r="BZ46" i="84"/>
  <c r="BU46" i="84"/>
  <c r="BP46" i="84"/>
  <c r="BK46" i="84"/>
  <c r="BF46" i="84"/>
  <c r="BA46" i="84"/>
  <c r="AV46" i="84"/>
  <c r="AQ46" i="84"/>
  <c r="AL46" i="84"/>
  <c r="AG46" i="84"/>
  <c r="AB46" i="84"/>
  <c r="U46" i="84"/>
  <c r="CH45" i="84"/>
  <c r="CE45" i="84"/>
  <c r="BZ45" i="84"/>
  <c r="BU45" i="84"/>
  <c r="BP45" i="84"/>
  <c r="BK45" i="84"/>
  <c r="BF45" i="84"/>
  <c r="BA45" i="84"/>
  <c r="AV45" i="84"/>
  <c r="AQ45" i="84"/>
  <c r="AL45" i="84"/>
  <c r="AG45" i="84"/>
  <c r="AB45" i="84"/>
  <c r="U45" i="84"/>
  <c r="CH44" i="84"/>
  <c r="CE44" i="84"/>
  <c r="BZ44" i="84"/>
  <c r="BU44" i="84"/>
  <c r="BP44" i="84"/>
  <c r="BK44" i="84"/>
  <c r="BF44" i="84"/>
  <c r="BA44" i="84"/>
  <c r="AV44" i="84"/>
  <c r="AR44" i="84"/>
  <c r="AR58" i="84" s="1"/>
  <c r="AQ44" i="84"/>
  <c r="U44" i="84"/>
  <c r="CH43" i="84"/>
  <c r="CE43" i="84"/>
  <c r="BZ43" i="84"/>
  <c r="BU43" i="84"/>
  <c r="BP43" i="84"/>
  <c r="BK43" i="84"/>
  <c r="U43" i="84"/>
  <c r="CH42" i="84"/>
  <c r="CE42" i="84"/>
  <c r="BZ42" i="84"/>
  <c r="BU42" i="84"/>
  <c r="BP42" i="84"/>
  <c r="BK42" i="84"/>
  <c r="BG42" i="84"/>
  <c r="BF42" i="84"/>
  <c r="BA42" i="84"/>
  <c r="AV42" i="84"/>
  <c r="AQ42" i="84"/>
  <c r="AL42" i="84"/>
  <c r="U42" i="84"/>
  <c r="CH41" i="84"/>
  <c r="CE41" i="84"/>
  <c r="BZ41" i="84"/>
  <c r="BU41" i="84"/>
  <c r="BP41" i="84"/>
  <c r="BK41" i="84"/>
  <c r="BF41" i="84"/>
  <c r="BA41" i="84"/>
  <c r="AV41" i="84"/>
  <c r="AQ41" i="84"/>
  <c r="AL41" i="84"/>
  <c r="AG41" i="84"/>
  <c r="AB41" i="84"/>
  <c r="U41" i="84"/>
  <c r="CE40" i="84"/>
  <c r="BZ40" i="84"/>
  <c r="BU40" i="84"/>
  <c r="BP40" i="84"/>
  <c r="BK40" i="84"/>
  <c r="BE40" i="84"/>
  <c r="BE58" i="84" s="1"/>
  <c r="BA40" i="84"/>
  <c r="AV40" i="84"/>
  <c r="AQ40" i="84"/>
  <c r="AL40" i="84"/>
  <c r="AG40" i="84"/>
  <c r="AB40" i="84"/>
  <c r="Y40" i="84"/>
  <c r="U40" i="84"/>
  <c r="CH39" i="84"/>
  <c r="CE39" i="84"/>
  <c r="BZ39" i="84"/>
  <c r="BU39" i="84"/>
  <c r="BP39" i="84"/>
  <c r="BK39" i="84"/>
  <c r="BF39" i="84"/>
  <c r="BA39" i="84"/>
  <c r="AV39" i="84"/>
  <c r="AQ39" i="84"/>
  <c r="AL39" i="84"/>
  <c r="AG39" i="84"/>
  <c r="AB39" i="84"/>
  <c r="U39" i="84"/>
  <c r="CH38" i="84"/>
  <c r="CE38" i="84"/>
  <c r="BZ38" i="84"/>
  <c r="BU38" i="84"/>
  <c r="BP38" i="84"/>
  <c r="U38" i="84"/>
  <c r="CH37" i="84"/>
  <c r="CE37" i="84"/>
  <c r="BZ37" i="84"/>
  <c r="BU37" i="84"/>
  <c r="BK37" i="84"/>
  <c r="U37" i="84"/>
  <c r="CE36" i="84"/>
  <c r="BZ36" i="84"/>
  <c r="BU36" i="84"/>
  <c r="BP36" i="84"/>
  <c r="BK36" i="84"/>
  <c r="BF36" i="84"/>
  <c r="BA36" i="84"/>
  <c r="AU36" i="84"/>
  <c r="AU58" i="84" s="1"/>
  <c r="AQ36" i="84"/>
  <c r="AL36" i="84"/>
  <c r="AH36" i="84"/>
  <c r="AH58" i="84" s="1"/>
  <c r="AG36" i="84"/>
  <c r="AB36" i="84"/>
  <c r="U36" i="84"/>
  <c r="CH35" i="84"/>
  <c r="CE35" i="84"/>
  <c r="BZ35" i="84"/>
  <c r="BU35" i="84"/>
  <c r="BP35" i="84"/>
  <c r="BK35" i="84"/>
  <c r="BF35" i="84"/>
  <c r="BA35" i="84"/>
  <c r="AV35" i="84"/>
  <c r="AQ35" i="84"/>
  <c r="AL35" i="84"/>
  <c r="AG35" i="84"/>
  <c r="AB35" i="84"/>
  <c r="U35" i="84"/>
  <c r="CH34" i="84"/>
  <c r="CE34" i="84"/>
  <c r="BZ34" i="84"/>
  <c r="BU34" i="84"/>
  <c r="BP34" i="84"/>
  <c r="U34" i="84"/>
  <c r="CH33" i="84"/>
  <c r="CE33" i="84"/>
  <c r="BZ33" i="84"/>
  <c r="BU33" i="84"/>
  <c r="BP33" i="84"/>
  <c r="BK33" i="84"/>
  <c r="BF33" i="84"/>
  <c r="BA33" i="84"/>
  <c r="AV33" i="84"/>
  <c r="AQ33" i="84"/>
  <c r="AL33" i="84"/>
  <c r="AG33" i="84"/>
  <c r="AB33" i="84"/>
  <c r="U33" i="84"/>
  <c r="CH32" i="84"/>
  <c r="CE32" i="84"/>
  <c r="BZ32" i="84"/>
  <c r="BU32" i="84"/>
  <c r="BP32" i="84"/>
  <c r="BK32" i="84"/>
  <c r="BF32" i="84"/>
  <c r="BA32" i="84"/>
  <c r="AV32" i="84"/>
  <c r="AQ32" i="84"/>
  <c r="AL32" i="84"/>
  <c r="AG32" i="84"/>
  <c r="AB32" i="84"/>
  <c r="U32" i="84"/>
  <c r="CH31" i="84"/>
  <c r="CE31" i="84"/>
  <c r="BZ31" i="84"/>
  <c r="BU31" i="84"/>
  <c r="BP31" i="84"/>
  <c r="BK31" i="84"/>
  <c r="U31" i="84"/>
  <c r="CH30" i="84"/>
  <c r="CE30" i="84"/>
  <c r="BZ30" i="84"/>
  <c r="BU30" i="84"/>
  <c r="BP30" i="84"/>
  <c r="BK30" i="84"/>
  <c r="BF30" i="84"/>
  <c r="BA30" i="84"/>
  <c r="AV30" i="84"/>
  <c r="AQ30" i="84"/>
  <c r="AL30" i="84"/>
  <c r="AG30" i="84"/>
  <c r="AB30" i="84"/>
  <c r="Y30" i="84"/>
  <c r="CH29" i="84"/>
  <c r="CE29" i="84"/>
  <c r="BZ29" i="84"/>
  <c r="BU29" i="84"/>
  <c r="BP29" i="84"/>
  <c r="BK29" i="84"/>
  <c r="BF29" i="84"/>
  <c r="BA29" i="84"/>
  <c r="AV29" i="84"/>
  <c r="AQ29" i="84"/>
  <c r="AL29" i="84"/>
  <c r="AG29" i="84"/>
  <c r="AB29" i="84"/>
  <c r="Y29" i="84"/>
  <c r="U29" i="84"/>
  <c r="CH28" i="84"/>
  <c r="CE28" i="84"/>
  <c r="BZ28" i="84"/>
  <c r="BU28" i="84"/>
  <c r="BP28" i="84"/>
  <c r="BK28" i="84"/>
  <c r="BF28" i="84"/>
  <c r="BA28" i="84"/>
  <c r="AV28" i="84"/>
  <c r="AQ28" i="84"/>
  <c r="AM28" i="84"/>
  <c r="AL28" i="84"/>
  <c r="AG28" i="84"/>
  <c r="AC28" i="84"/>
  <c r="AB28" i="84"/>
  <c r="U28" i="84"/>
  <c r="CH27" i="84"/>
  <c r="CE27" i="84"/>
  <c r="BZ27" i="84"/>
  <c r="BU27" i="84"/>
  <c r="BP27" i="84"/>
  <c r="BK27" i="84"/>
  <c r="BF27" i="84"/>
  <c r="BA27" i="84"/>
  <c r="AV27" i="84"/>
  <c r="AQ27" i="84"/>
  <c r="AL27" i="84"/>
  <c r="AG27" i="84"/>
  <c r="AB27" i="84"/>
  <c r="Y27" i="84"/>
  <c r="U27" i="84"/>
  <c r="CH26" i="84"/>
  <c r="CE26" i="84"/>
  <c r="BZ26" i="84"/>
  <c r="BU26" i="84"/>
  <c r="BP26" i="84"/>
  <c r="BK26" i="84"/>
  <c r="BF26" i="84"/>
  <c r="BB26" i="84"/>
  <c r="BA26" i="84"/>
  <c r="AV26" i="84"/>
  <c r="AQ26" i="84"/>
  <c r="AL26" i="84"/>
  <c r="AG26" i="84"/>
  <c r="AC26" i="84"/>
  <c r="AC58" i="84" s="1"/>
  <c r="AB26" i="84"/>
  <c r="Y26" i="84"/>
  <c r="Y58" i="84" s="1"/>
  <c r="U26" i="84"/>
  <c r="CH25" i="84"/>
  <c r="CE25" i="84"/>
  <c r="BZ25" i="84"/>
  <c r="BU25" i="84"/>
  <c r="BP25" i="84"/>
  <c r="BK25" i="84"/>
  <c r="BF25" i="84"/>
  <c r="BA25" i="84"/>
  <c r="AV25" i="84"/>
  <c r="U25" i="84"/>
  <c r="CH24" i="84"/>
  <c r="CE24" i="84"/>
  <c r="BZ24" i="84"/>
  <c r="BU24" i="84"/>
  <c r="BP24" i="84"/>
  <c r="BK24" i="84"/>
  <c r="BF24" i="84"/>
  <c r="BA24" i="84"/>
  <c r="AV24" i="84"/>
  <c r="AQ24" i="84"/>
  <c r="AL24" i="84"/>
  <c r="AG24" i="84"/>
  <c r="AB24" i="84"/>
  <c r="U24" i="84"/>
  <c r="CH23" i="84"/>
  <c r="CE23" i="84"/>
  <c r="BZ23" i="84"/>
  <c r="BU23" i="84"/>
  <c r="BP23" i="84"/>
  <c r="BK23" i="84"/>
  <c r="BF23" i="84"/>
  <c r="BA23" i="84"/>
  <c r="AV23" i="84"/>
  <c r="AQ23" i="84"/>
  <c r="AL23" i="84"/>
  <c r="AG23" i="84"/>
  <c r="AB23" i="84"/>
  <c r="U23" i="84"/>
  <c r="CH22" i="84"/>
  <c r="CE22" i="84"/>
  <c r="BZ22" i="84"/>
  <c r="BU22" i="84"/>
  <c r="BP22" i="84"/>
  <c r="BK22" i="84"/>
  <c r="BF22" i="84"/>
  <c r="BA22" i="84"/>
  <c r="AQ22" i="84"/>
  <c r="U22" i="84"/>
  <c r="CH21" i="84"/>
  <c r="CE21" i="84"/>
  <c r="BZ21" i="84"/>
  <c r="BU21" i="84"/>
  <c r="BP21" i="84"/>
  <c r="BK21" i="84"/>
  <c r="BF21" i="84"/>
  <c r="BA21" i="84"/>
  <c r="AV21" i="84"/>
  <c r="AQ21" i="84"/>
  <c r="AL21" i="84"/>
  <c r="AG21" i="84"/>
  <c r="AB21" i="84"/>
  <c r="U21" i="84"/>
  <c r="CH20" i="84"/>
  <c r="CE20" i="84"/>
  <c r="BZ20" i="84"/>
  <c r="BU20" i="84"/>
  <c r="BP20" i="84"/>
  <c r="BK20" i="84"/>
  <c r="BF20" i="84"/>
  <c r="BA20" i="84"/>
  <c r="AV20" i="84"/>
  <c r="AQ20" i="84"/>
  <c r="AL20" i="84"/>
  <c r="AG20" i="84"/>
  <c r="AB20" i="84"/>
  <c r="U20" i="84"/>
  <c r="CH19" i="84"/>
  <c r="CE19" i="84"/>
  <c r="BZ19" i="84"/>
  <c r="BU19" i="84"/>
  <c r="BP19" i="84"/>
  <c r="BK19" i="84"/>
  <c r="BF19" i="84"/>
  <c r="BA19" i="84"/>
  <c r="AV19" i="84"/>
  <c r="AQ19" i="84"/>
  <c r="AL19" i="84"/>
  <c r="AG19" i="84"/>
  <c r="AB19" i="84"/>
  <c r="U19" i="84"/>
  <c r="CH18" i="84"/>
  <c r="CE18" i="84"/>
  <c r="BZ18" i="84"/>
  <c r="BU18" i="84"/>
  <c r="BP18" i="84"/>
  <c r="BK18" i="84"/>
  <c r="BF18" i="84"/>
  <c r="BA18" i="84"/>
  <c r="AV18" i="84"/>
  <c r="AQ18" i="84"/>
  <c r="AL18" i="84"/>
  <c r="AG18" i="84"/>
  <c r="AB18" i="84"/>
  <c r="U18" i="84"/>
  <c r="CH17" i="84"/>
  <c r="CE17" i="84"/>
  <c r="BZ17" i="84"/>
  <c r="BU17" i="84"/>
  <c r="BQ17" i="84"/>
  <c r="BP17" i="84"/>
  <c r="U17" i="84"/>
  <c r="CH16" i="84"/>
  <c r="CE16" i="84"/>
  <c r="BZ16" i="84"/>
  <c r="BU16" i="84"/>
  <c r="BP16" i="84"/>
  <c r="BK16" i="84"/>
  <c r="BF16" i="84"/>
  <c r="BA16" i="84"/>
  <c r="AV16" i="84"/>
  <c r="AQ16" i="84"/>
  <c r="AM16" i="84"/>
  <c r="AL16" i="84"/>
  <c r="AG16" i="84"/>
  <c r="AB16" i="84"/>
  <c r="U16" i="84"/>
  <c r="CH15" i="84"/>
  <c r="CE15" i="84"/>
  <c r="BZ15" i="84"/>
  <c r="BU15" i="84"/>
  <c r="BP15" i="84"/>
  <c r="BK15" i="84"/>
  <c r="BF15" i="84"/>
  <c r="BA15" i="84"/>
  <c r="AV15" i="84"/>
  <c r="AQ15" i="84"/>
  <c r="AL15" i="84"/>
  <c r="AG15" i="84"/>
  <c r="AB15" i="84"/>
  <c r="U15" i="84"/>
  <c r="CH14" i="84"/>
  <c r="CE14" i="84"/>
  <c r="BZ14" i="84"/>
  <c r="BU14" i="84"/>
  <c r="BP14" i="84"/>
  <c r="BG14" i="84"/>
  <c r="BG58" i="84" s="1"/>
  <c r="BF14" i="84"/>
  <c r="U14" i="84"/>
  <c r="CH13" i="84"/>
  <c r="CE13" i="84"/>
  <c r="BZ13" i="84"/>
  <c r="BU13" i="84"/>
  <c r="BP13" i="84"/>
  <c r="BK13" i="84"/>
  <c r="BF13" i="84"/>
  <c r="BA13" i="84"/>
  <c r="AV13" i="84"/>
  <c r="AQ13" i="84"/>
  <c r="AL13" i="84"/>
  <c r="AG13" i="84"/>
  <c r="AB13" i="84"/>
  <c r="U13" i="84"/>
  <c r="CH12" i="84"/>
  <c r="CE12" i="84"/>
  <c r="BZ12" i="84"/>
  <c r="BU12" i="84"/>
  <c r="BQ12" i="84"/>
  <c r="BQ58" i="84" s="1"/>
  <c r="BP12" i="84"/>
  <c r="U12" i="84"/>
  <c r="CH11" i="84"/>
  <c r="CE11" i="84"/>
  <c r="BZ11" i="84"/>
  <c r="BU11" i="84"/>
  <c r="BP11" i="84"/>
  <c r="BL11" i="84"/>
  <c r="BL58" i="84" s="1"/>
  <c r="BK11" i="84"/>
  <c r="BA11" i="84"/>
  <c r="AV11" i="84"/>
  <c r="AQ11" i="84"/>
  <c r="AL11" i="84"/>
  <c r="AG11" i="84"/>
  <c r="AB11" i="84"/>
  <c r="CH10" i="84"/>
  <c r="CE10" i="84"/>
  <c r="BZ10" i="84"/>
  <c r="BU10" i="84"/>
  <c r="BP10" i="84"/>
  <c r="BK10" i="84"/>
  <c r="BF10" i="84"/>
  <c r="BA10" i="84"/>
  <c r="U10" i="84"/>
  <c r="CH9" i="84"/>
  <c r="CE9" i="84"/>
  <c r="BZ9" i="84"/>
  <c r="BU9" i="84"/>
  <c r="BP9" i="84"/>
  <c r="BK9" i="84"/>
  <c r="BF9" i="84"/>
  <c r="BA9" i="84"/>
  <c r="AV9" i="84"/>
  <c r="AQ9" i="84"/>
  <c r="AL9" i="84"/>
  <c r="AG9" i="84"/>
  <c r="AB9" i="84"/>
  <c r="U9" i="84"/>
  <c r="CH8" i="84"/>
  <c r="CE8" i="84"/>
  <c r="BZ8" i="84"/>
  <c r="BU8" i="84"/>
  <c r="BP8" i="84"/>
  <c r="BK8" i="84"/>
  <c r="BF8" i="84"/>
  <c r="BA8" i="84"/>
  <c r="AV8" i="84"/>
  <c r="AQ8" i="84"/>
  <c r="AL8" i="84"/>
  <c r="AG8" i="84"/>
  <c r="AB8" i="84"/>
  <c r="U8" i="84"/>
  <c r="CH7" i="84"/>
  <c r="CE7" i="84"/>
  <c r="BZ7" i="84"/>
  <c r="BU7" i="84"/>
  <c r="BP7" i="84"/>
  <c r="BK7" i="84"/>
  <c r="BF7" i="84"/>
  <c r="BA7" i="84"/>
  <c r="AV7" i="84"/>
  <c r="AQ7" i="84"/>
  <c r="AL7" i="84"/>
  <c r="AG7" i="84"/>
  <c r="AB7" i="84"/>
  <c r="U7" i="84"/>
  <c r="P7" i="84"/>
  <c r="CH6" i="84"/>
  <c r="CE6" i="84"/>
  <c r="BZ6" i="84"/>
  <c r="BU6" i="84"/>
  <c r="BP6" i="84"/>
  <c r="BK6" i="84"/>
  <c r="BF6" i="84"/>
  <c r="BA6" i="84"/>
  <c r="AV6" i="84"/>
  <c r="AQ6" i="84"/>
  <c r="AL6" i="84"/>
  <c r="AG6" i="84"/>
  <c r="AB6" i="84"/>
  <c r="U6" i="84"/>
  <c r="P6" i="84"/>
  <c r="CE5" i="84"/>
  <c r="BZ5" i="84"/>
  <c r="BU5" i="84"/>
  <c r="BO5" i="84"/>
  <c r="BO58" i="84" s="1"/>
  <c r="BO59" i="84" s="1"/>
  <c r="BK5" i="84"/>
  <c r="BF5" i="84"/>
  <c r="BA5" i="84"/>
  <c r="AV5" i="84"/>
  <c r="AQ5" i="84"/>
  <c r="AL5" i="84"/>
  <c r="AL58" i="84" s="1"/>
  <c r="AG5" i="84"/>
  <c r="AB5" i="84"/>
  <c r="AB58" i="84" s="1"/>
  <c r="U5" i="84"/>
  <c r="P5" i="84"/>
  <c r="D2" i="85"/>
  <c r="AB13" i="85" l="1"/>
  <c r="U13" i="85"/>
  <c r="H15" i="85"/>
  <c r="AB15" i="85" s="1"/>
  <c r="H19" i="85"/>
  <c r="AB19" i="85" s="1"/>
  <c r="AG58" i="84"/>
  <c r="BU58" i="84"/>
  <c r="CE58" i="84"/>
  <c r="AM58" i="84"/>
  <c r="F14" i="85"/>
  <c r="AA14" i="85" s="1"/>
  <c r="F17" i="85"/>
  <c r="AA17" i="85" s="1"/>
  <c r="J17" i="85"/>
  <c r="AC17" i="85" s="1"/>
  <c r="F21" i="85"/>
  <c r="AA21" i="85" s="1"/>
  <c r="J21" i="85"/>
  <c r="AC21" i="85" s="1"/>
  <c r="AC8" i="85"/>
  <c r="AC10" i="85"/>
  <c r="AC14" i="85"/>
  <c r="F23" i="85"/>
  <c r="AA23" i="85" s="1"/>
  <c r="J23" i="85"/>
  <c r="AC23" i="85" s="1"/>
  <c r="F26" i="85"/>
  <c r="AA26" i="85" s="1"/>
  <c r="F28" i="85"/>
  <c r="AA28" i="85" s="1"/>
  <c r="AC39" i="85"/>
  <c r="AQ58" i="84"/>
  <c r="BA58" i="84"/>
  <c r="BK58" i="84"/>
  <c r="BP5" i="84"/>
  <c r="BP58" i="84" s="1"/>
  <c r="BZ58" i="84"/>
  <c r="CH5" i="84"/>
  <c r="BB58" i="84"/>
  <c r="D65" i="84"/>
  <c r="D66" i="84" s="1"/>
  <c r="U8" i="85"/>
  <c r="W17" i="85"/>
  <c r="AA8" i="85"/>
  <c r="U9" i="85"/>
  <c r="S12" i="85"/>
  <c r="S15" i="85"/>
  <c r="AC19" i="85"/>
  <c r="W19" i="85"/>
  <c r="S19" i="85"/>
  <c r="S10" i="85"/>
  <c r="U11" i="85"/>
  <c r="W12" i="85"/>
  <c r="S14" i="85"/>
  <c r="W15" i="85"/>
  <c r="S17" i="85"/>
  <c r="AC25" i="85"/>
  <c r="W25" i="85"/>
  <c r="AC27" i="85"/>
  <c r="W27" i="85"/>
  <c r="H99" i="85"/>
  <c r="I99" i="85" s="1"/>
  <c r="J99" i="85" s="1"/>
  <c r="K99" i="85" s="1"/>
  <c r="L99" i="85" s="1"/>
  <c r="M99" i="85" s="1"/>
  <c r="H33" i="85"/>
  <c r="J33" i="85"/>
  <c r="F33" i="85"/>
  <c r="AB40" i="85"/>
  <c r="U40" i="85"/>
  <c r="S9" i="85"/>
  <c r="W9" i="85"/>
  <c r="U10" i="85"/>
  <c r="S11" i="85"/>
  <c r="W11" i="85"/>
  <c r="U12" i="85"/>
  <c r="S13" i="85"/>
  <c r="W13" i="85"/>
  <c r="U14" i="85"/>
  <c r="U15" i="85"/>
  <c r="U17" i="85"/>
  <c r="U19" i="85"/>
  <c r="U21" i="85"/>
  <c r="U23" i="85"/>
  <c r="F25" i="85"/>
  <c r="U26" i="85"/>
  <c r="F27" i="85"/>
  <c r="U28" i="85"/>
  <c r="S29" i="85"/>
  <c r="W29" i="85"/>
  <c r="S31" i="85"/>
  <c r="W31" i="85"/>
  <c r="U32" i="85"/>
  <c r="U34" i="85"/>
  <c r="S35" i="85"/>
  <c r="W35" i="85"/>
  <c r="U36" i="85"/>
  <c r="S37" i="85"/>
  <c r="W37" i="85"/>
  <c r="S39" i="85"/>
  <c r="S21" i="85"/>
  <c r="W21" i="85"/>
  <c r="S23" i="85"/>
  <c r="W23" i="85"/>
  <c r="U25" i="85"/>
  <c r="S26" i="85"/>
  <c r="W26" i="85"/>
  <c r="U27" i="85"/>
  <c r="S28" i="85"/>
  <c r="W28" i="85"/>
  <c r="U29" i="85"/>
  <c r="U31" i="85"/>
  <c r="S32" i="85"/>
  <c r="W32" i="85"/>
  <c r="S34" i="85"/>
  <c r="W34" i="85"/>
  <c r="U35" i="85"/>
  <c r="S36" i="85"/>
  <c r="W36" i="85"/>
  <c r="U37" i="85"/>
  <c r="U38" i="85"/>
  <c r="J38" i="85"/>
  <c r="F38" i="85"/>
  <c r="J40" i="85"/>
  <c r="F40" i="85"/>
  <c r="U39" i="85"/>
  <c r="AV36" i="84"/>
  <c r="AV58" i="84" s="1"/>
  <c r="CH36" i="84"/>
  <c r="BF40" i="84"/>
  <c r="BF58" i="84" s="1"/>
  <c r="CH40" i="84"/>
  <c r="CH58" i="84" l="1"/>
  <c r="AC40" i="85"/>
  <c r="W40" i="85"/>
  <c r="AC38" i="85"/>
  <c r="W38" i="85"/>
  <c r="AA33" i="85"/>
  <c r="S33" i="85"/>
  <c r="AB33" i="85"/>
  <c r="U33" i="85"/>
  <c r="AA40" i="85"/>
  <c r="S40" i="85"/>
  <c r="AA38" i="85"/>
  <c r="S38" i="85"/>
  <c r="AA27" i="85"/>
  <c r="S27" i="85"/>
  <c r="AA25" i="85"/>
  <c r="S25" i="85"/>
  <c r="AC33" i="85"/>
  <c r="W33" i="85"/>
  <c r="G19" i="80"/>
  <c r="J37" i="83"/>
  <c r="G37" i="83"/>
  <c r="J36" i="83"/>
  <c r="G36" i="83"/>
  <c r="J35" i="83"/>
  <c r="I35" i="83"/>
  <c r="G35" i="83"/>
  <c r="F35" i="83"/>
  <c r="J34" i="83"/>
  <c r="G34" i="83"/>
  <c r="J33" i="83"/>
  <c r="G33" i="83"/>
  <c r="H32" i="83"/>
  <c r="D32" i="83"/>
  <c r="B32" i="83"/>
  <c r="J31" i="83"/>
  <c r="G31" i="83"/>
  <c r="J30" i="83"/>
  <c r="G30" i="83"/>
  <c r="J29" i="83"/>
  <c r="G29" i="83"/>
  <c r="I28" i="83"/>
  <c r="I32" i="83" s="1"/>
  <c r="F28" i="83"/>
  <c r="G28" i="83" s="1"/>
  <c r="G32" i="83" s="1"/>
  <c r="J27" i="83"/>
  <c r="G27" i="83"/>
  <c r="J26" i="83"/>
  <c r="G26" i="83"/>
  <c r="B25" i="83"/>
  <c r="I24" i="83"/>
  <c r="J24" i="83" s="1"/>
  <c r="F24" i="83"/>
  <c r="G24" i="83" s="1"/>
  <c r="J23" i="83"/>
  <c r="G23" i="83"/>
  <c r="I22" i="83"/>
  <c r="J22" i="83" s="1"/>
  <c r="F22" i="83"/>
  <c r="G22" i="83" s="1"/>
  <c r="I21" i="83"/>
  <c r="J21" i="83" s="1"/>
  <c r="F21" i="83"/>
  <c r="G21" i="83" s="1"/>
  <c r="I20" i="83"/>
  <c r="J20" i="83" s="1"/>
  <c r="F20" i="83"/>
  <c r="G20" i="83" s="1"/>
  <c r="I19" i="83"/>
  <c r="J19" i="83" s="1"/>
  <c r="F19" i="83"/>
  <c r="G19" i="83" s="1"/>
  <c r="J18" i="83"/>
  <c r="G18" i="83"/>
  <c r="I17" i="83"/>
  <c r="I25" i="83" s="1"/>
  <c r="J25" i="83" s="1"/>
  <c r="F17" i="83"/>
  <c r="F25" i="83" s="1"/>
  <c r="G25" i="83" s="1"/>
  <c r="B15" i="83"/>
  <c r="B38" i="83" s="1"/>
  <c r="I14" i="83"/>
  <c r="J14" i="83" s="1"/>
  <c r="F14" i="83"/>
  <c r="G14" i="83" s="1"/>
  <c r="I13" i="83"/>
  <c r="I15" i="83" s="1"/>
  <c r="F13" i="83"/>
  <c r="F15" i="83" s="1"/>
  <c r="F38" i="83" s="1"/>
  <c r="J12" i="83"/>
  <c r="G12" i="83"/>
  <c r="J11" i="83"/>
  <c r="G11" i="83"/>
  <c r="J10" i="83"/>
  <c r="G10" i="83"/>
  <c r="J9" i="83"/>
  <c r="G9" i="83"/>
  <c r="J8" i="83"/>
  <c r="G8" i="83"/>
  <c r="J7" i="83"/>
  <c r="G7" i="83"/>
  <c r="J6" i="83"/>
  <c r="G6" i="83"/>
  <c r="J5" i="83"/>
  <c r="G5" i="83"/>
  <c r="J4" i="83"/>
  <c r="G4" i="83"/>
  <c r="J3" i="83"/>
  <c r="G3" i="83"/>
  <c r="I38" i="83" l="1"/>
  <c r="G13" i="83"/>
  <c r="G15" i="83" s="1"/>
  <c r="G38" i="83" s="1"/>
  <c r="J13" i="83"/>
  <c r="J15" i="83" s="1"/>
  <c r="J38" i="83" s="1"/>
  <c r="J28" i="83"/>
  <c r="J32" i="83" s="1"/>
  <c r="G17" i="83"/>
  <c r="J17" i="83"/>
  <c r="H27" i="82" l="1"/>
  <c r="H26" i="82"/>
  <c r="H25" i="82"/>
  <c r="H24" i="82"/>
  <c r="H23" i="82"/>
  <c r="B22" i="82"/>
  <c r="H21" i="82"/>
  <c r="H20" i="82"/>
  <c r="Q19" i="82"/>
  <c r="H19" i="82"/>
  <c r="H16" i="82"/>
  <c r="H15" i="82"/>
  <c r="B14" i="82"/>
  <c r="H14" i="82" s="1"/>
  <c r="H13" i="82"/>
  <c r="H10" i="82"/>
  <c r="H9" i="82"/>
  <c r="H8" i="82"/>
  <c r="H7" i="82"/>
  <c r="I6" i="82"/>
  <c r="H6" i="82"/>
  <c r="B11" i="82" l="1"/>
  <c r="B28" i="82" l="1"/>
  <c r="H11" i="82"/>
  <c r="H28" i="82" s="1"/>
  <c r="K4" i="80" l="1"/>
  <c r="K5" i="80"/>
  <c r="K6" i="80"/>
  <c r="K7" i="80"/>
  <c r="K8" i="80"/>
  <c r="I5" i="80"/>
  <c r="I6" i="80"/>
  <c r="I7" i="80"/>
  <c r="I8" i="80"/>
  <c r="I9" i="80"/>
  <c r="I10" i="80"/>
  <c r="I11" i="80"/>
  <c r="I12" i="80"/>
  <c r="I4" i="80"/>
  <c r="K3" i="80"/>
  <c r="I3" i="80"/>
  <c r="J52" i="15"/>
  <c r="D14" i="9"/>
  <c r="F19" i="6"/>
  <c r="B14" i="74" s="1"/>
  <c r="I28" i="79"/>
  <c r="Y6" i="1"/>
  <c r="I8" i="79"/>
  <c r="D3" i="4"/>
  <c r="L26" i="79"/>
  <c r="M26" i="79"/>
  <c r="P26" i="79" s="1"/>
  <c r="N26" i="79"/>
  <c r="L27" i="79"/>
  <c r="M27" i="79"/>
  <c r="N27" i="79"/>
  <c r="L28" i="79"/>
  <c r="M28" i="79"/>
  <c r="P28" i="79" s="1"/>
  <c r="N28" i="79"/>
  <c r="I26" i="79"/>
  <c r="I27" i="79"/>
  <c r="I6" i="79"/>
  <c r="I7" i="79"/>
  <c r="K6" i="79"/>
  <c r="L6" i="79"/>
  <c r="M6" i="79"/>
  <c r="P6" i="79" s="1"/>
  <c r="N6" i="79"/>
  <c r="O6" i="79"/>
  <c r="K7" i="79"/>
  <c r="L7" i="79"/>
  <c r="M7" i="79"/>
  <c r="P7" i="79" s="1"/>
  <c r="N7" i="79"/>
  <c r="O7" i="79"/>
  <c r="K8" i="79"/>
  <c r="L8" i="79"/>
  <c r="M8" i="79"/>
  <c r="P8" i="79" s="1"/>
  <c r="N8" i="79"/>
  <c r="O8" i="79"/>
  <c r="P27" i="79"/>
  <c r="B10" i="74"/>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c r="X7" i="71"/>
  <c r="Q7" i="71"/>
  <c r="P7" i="71"/>
  <c r="O7" i="71"/>
  <c r="N7" i="71"/>
  <c r="B3" i="78"/>
  <c r="C7" i="78" s="1"/>
  <c r="D7" i="78" s="1"/>
  <c r="F13" i="1"/>
  <c r="D13" i="1"/>
  <c r="D12" i="1"/>
  <c r="D11" i="1"/>
  <c r="D10" i="1"/>
  <c r="D9" i="1"/>
  <c r="D8" i="1"/>
  <c r="D7" i="1"/>
  <c r="D6" i="1"/>
  <c r="I2" i="43"/>
  <c r="M1" i="43" s="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c r="L36" i="79"/>
  <c r="I36" i="79"/>
  <c r="AD36" i="79" s="1"/>
  <c r="AB35" i="79"/>
  <c r="AA35" i="79"/>
  <c r="Z35" i="79"/>
  <c r="N35" i="79"/>
  <c r="U35" i="79" s="1"/>
  <c r="M35" i="79"/>
  <c r="T35" i="79" s="1"/>
  <c r="W35" i="79" s="1"/>
  <c r="L35" i="79"/>
  <c r="S35" i="79" s="1"/>
  <c r="I35" i="79"/>
  <c r="AB34" i="79"/>
  <c r="AA34" i="79"/>
  <c r="Z34" i="79"/>
  <c r="N34" i="79"/>
  <c r="U34" i="79"/>
  <c r="M34" i="79"/>
  <c r="L34" i="79"/>
  <c r="S34" i="79" s="1"/>
  <c r="I34" i="79"/>
  <c r="AB33" i="79"/>
  <c r="AA33" i="79"/>
  <c r="Z33" i="79"/>
  <c r="N33" i="79"/>
  <c r="M33" i="79"/>
  <c r="T33" i="79" s="1"/>
  <c r="W33" i="79" s="1"/>
  <c r="L33" i="79"/>
  <c r="I33" i="79"/>
  <c r="AB32" i="79"/>
  <c r="AA32" i="79"/>
  <c r="Z32" i="79"/>
  <c r="N32" i="79"/>
  <c r="M32" i="79"/>
  <c r="L32" i="79"/>
  <c r="S32" i="79" s="1"/>
  <c r="I32" i="79"/>
  <c r="AB31" i="79"/>
  <c r="AA31" i="79"/>
  <c r="Z31" i="79"/>
  <c r="N31" i="79"/>
  <c r="M31" i="79"/>
  <c r="L31" i="79"/>
  <c r="I31" i="79"/>
  <c r="AB30" i="79"/>
  <c r="AA30" i="79"/>
  <c r="Z30" i="79"/>
  <c r="N30" i="79"/>
  <c r="M30" i="79"/>
  <c r="L30" i="79"/>
  <c r="I30" i="79"/>
  <c r="AB29" i="79"/>
  <c r="AA29" i="79"/>
  <c r="AA23" i="79" s="1"/>
  <c r="AD23" i="79" s="1"/>
  <c r="Z29" i="79"/>
  <c r="N29" i="79"/>
  <c r="M29" i="79"/>
  <c r="L29" i="79"/>
  <c r="L23" i="79" s="1"/>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c r="Z15" i="79"/>
  <c r="Y15" i="79"/>
  <c r="O15" i="79"/>
  <c r="V15" i="79"/>
  <c r="N15" i="79"/>
  <c r="U15" i="79"/>
  <c r="M15" i="79"/>
  <c r="P15" i="79"/>
  <c r="L15" i="79"/>
  <c r="S15" i="79"/>
  <c r="K15" i="79"/>
  <c r="R15" i="79"/>
  <c r="I15" i="79"/>
  <c r="AC14" i="79"/>
  <c r="AB14" i="79"/>
  <c r="AA14" i="79"/>
  <c r="AD14" i="79" s="1"/>
  <c r="Z14" i="79"/>
  <c r="Y14" i="79"/>
  <c r="O14" i="79"/>
  <c r="V14" i="79" s="1"/>
  <c r="N14" i="79"/>
  <c r="U14" i="79" s="1"/>
  <c r="M14" i="79"/>
  <c r="T14" i="79" s="1"/>
  <c r="W14" i="79"/>
  <c r="L14" i="79"/>
  <c r="S14" i="79"/>
  <c r="K14" i="79"/>
  <c r="R14" i="79"/>
  <c r="I14" i="79"/>
  <c r="AC13" i="79"/>
  <c r="AB13" i="79"/>
  <c r="AA13" i="79"/>
  <c r="AD13" i="79" s="1"/>
  <c r="Z13" i="79"/>
  <c r="Y13" i="79"/>
  <c r="O13" i="79"/>
  <c r="V13" i="79" s="1"/>
  <c r="N13" i="79"/>
  <c r="U13" i="79" s="1"/>
  <c r="M13" i="79"/>
  <c r="P13" i="79" s="1"/>
  <c r="L13" i="79"/>
  <c r="S13" i="79" s="1"/>
  <c r="K13" i="79"/>
  <c r="R13" i="79" s="1"/>
  <c r="I13" i="79"/>
  <c r="AC12" i="79"/>
  <c r="AB12" i="79"/>
  <c r="AA12" i="79"/>
  <c r="AD12" i="79"/>
  <c r="Z12" i="79"/>
  <c r="Y12" i="79"/>
  <c r="O12" i="79"/>
  <c r="V12" i="79"/>
  <c r="N12" i="79"/>
  <c r="U12" i="79"/>
  <c r="M12" i="79"/>
  <c r="T12" i="79"/>
  <c r="W12" i="79" s="1"/>
  <c r="L12" i="79"/>
  <c r="K12" i="79"/>
  <c r="R12" i="79" s="1"/>
  <c r="I12" i="79"/>
  <c r="AC11" i="79"/>
  <c r="AB11" i="79"/>
  <c r="AA11" i="79"/>
  <c r="AD11" i="79" s="1"/>
  <c r="Z11" i="79"/>
  <c r="Y11" i="79"/>
  <c r="O11" i="79"/>
  <c r="V11" i="79" s="1"/>
  <c r="N11" i="79"/>
  <c r="M11" i="79"/>
  <c r="P11" i="79"/>
  <c r="L11" i="79"/>
  <c r="K11" i="79"/>
  <c r="I11" i="79"/>
  <c r="AC10" i="79"/>
  <c r="AB10" i="79"/>
  <c r="AA10" i="79"/>
  <c r="AD10" i="79" s="1"/>
  <c r="Z10" i="79"/>
  <c r="Y10" i="79"/>
  <c r="O10" i="79"/>
  <c r="N10" i="79"/>
  <c r="U9" i="79" s="1"/>
  <c r="M10" i="79"/>
  <c r="T10" i="79" s="1"/>
  <c r="W10" i="79" s="1"/>
  <c r="L10" i="79"/>
  <c r="S9" i="79" s="1"/>
  <c r="K10" i="79"/>
  <c r="I10" i="79"/>
  <c r="AC9" i="79"/>
  <c r="AB9" i="79"/>
  <c r="AA9" i="79"/>
  <c r="Z9" i="79"/>
  <c r="Y9" i="79"/>
  <c r="O9" i="79"/>
  <c r="V9" i="79" s="1"/>
  <c r="N9" i="79"/>
  <c r="M9" i="79"/>
  <c r="T8" i="79" s="1"/>
  <c r="W8" i="79" s="1"/>
  <c r="L9" i="79"/>
  <c r="K9" i="79"/>
  <c r="K3" i="79" s="1"/>
  <c r="I9" i="79"/>
  <c r="AC5" i="79"/>
  <c r="AB5" i="79"/>
  <c r="AB3" i="79"/>
  <c r="AA5" i="79"/>
  <c r="AD5" i="79"/>
  <c r="Z5" i="79"/>
  <c r="Z3" i="79"/>
  <c r="Y5" i="79"/>
  <c r="O5" i="79"/>
  <c r="V3" i="79" s="1"/>
  <c r="N5" i="79"/>
  <c r="M5" i="79"/>
  <c r="M3" i="79" s="1"/>
  <c r="P3" i="79" s="1"/>
  <c r="L5" i="79"/>
  <c r="S5" i="79"/>
  <c r="K5" i="79"/>
  <c r="R5" i="79"/>
  <c r="I5" i="79"/>
  <c r="AC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5" i="79"/>
  <c r="W5" i="79" s="1"/>
  <c r="P9" i="79"/>
  <c r="V7" i="79"/>
  <c r="S6" i="79"/>
  <c r="U7" i="79"/>
  <c r="T25" i="79"/>
  <c r="W25" i="79" s="1"/>
  <c r="S27" i="79"/>
  <c r="S26" i="79"/>
  <c r="U26" i="79"/>
  <c r="U28" i="79"/>
  <c r="S31" i="79"/>
  <c r="AD32" i="79"/>
  <c r="S33" i="79"/>
  <c r="U33" i="79"/>
  <c r="T34" i="79"/>
  <c r="W34" i="79" s="1"/>
  <c r="P12" i="79"/>
  <c r="P14" i="79"/>
  <c r="U25" i="79"/>
  <c r="Z23" i="79"/>
  <c r="T30" i="79"/>
  <c r="W30" i="79" s="1"/>
  <c r="S2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E23" i="78"/>
  <c r="E22" i="78"/>
  <c r="G22" i="78" s="1"/>
  <c r="F12" i="78"/>
  <c r="F11" i="78"/>
  <c r="C18" i="78" s="1"/>
  <c r="H100" i="43"/>
  <c r="H97" i="43"/>
  <c r="H95" i="43"/>
  <c r="H94" i="43"/>
  <c r="H98" i="43"/>
  <c r="H93" i="43"/>
  <c r="H101" i="43"/>
  <c r="H99" i="43"/>
  <c r="H96" i="43"/>
  <c r="G14" i="73"/>
  <c r="F14" i="73"/>
  <c r="E14" i="73"/>
  <c r="G15" i="73"/>
  <c r="F15" i="73"/>
  <c r="E15" i="73"/>
  <c r="G16" i="73"/>
  <c r="F16" i="73"/>
  <c r="E16" i="73"/>
  <c r="G13" i="73"/>
  <c r="F13" i="73"/>
  <c r="E13" i="73"/>
  <c r="AH8" i="71"/>
  <c r="AG8" i="71"/>
  <c r="AE8" i="71"/>
  <c r="AF8" i="71" s="1"/>
  <c r="AD8" i="71"/>
  <c r="Q8" i="71"/>
  <c r="P8" i="71"/>
  <c r="O8" i="71"/>
  <c r="N8" i="71"/>
  <c r="R43" i="77"/>
  <c r="R40" i="77"/>
  <c r="R41" i="77" s="1"/>
  <c r="F36" i="77"/>
  <c r="R34" i="77"/>
  <c r="R33" i="77"/>
  <c r="C30" i="77"/>
  <c r="R27" i="77"/>
  <c r="M24" i="77"/>
  <c r="R23" i="77"/>
  <c r="C23" i="77"/>
  <c r="D23" i="77" s="1"/>
  <c r="R22" i="77"/>
  <c r="R21" i="77"/>
  <c r="N19" i="77"/>
  <c r="R18" i="77"/>
  <c r="D18" i="77"/>
  <c r="R17" i="77"/>
  <c r="D17" i="77"/>
  <c r="R16" i="77"/>
  <c r="D16" i="77"/>
  <c r="D15" i="77"/>
  <c r="M14" i="77"/>
  <c r="N14" i="77" s="1"/>
  <c r="D14" i="77"/>
  <c r="D11" i="77"/>
  <c r="E11" i="77" s="1"/>
  <c r="E7" i="77" s="1"/>
  <c r="C27" i="77" s="1"/>
  <c r="R13" i="77"/>
  <c r="R12" i="77"/>
  <c r="D12" i="77"/>
  <c r="R11" i="77"/>
  <c r="R10" i="77"/>
  <c r="D10" i="77"/>
  <c r="R9" i="77"/>
  <c r="D9" i="77"/>
  <c r="D7" i="77" s="1"/>
  <c r="C26" i="77" s="1"/>
  <c r="R8" i="77"/>
  <c r="R7" i="77"/>
  <c r="R14" i="77" s="1"/>
  <c r="R4" i="77"/>
  <c r="R3" i="77"/>
  <c r="R24" i="77"/>
  <c r="C29" i="77"/>
  <c r="AH9" i="71"/>
  <c r="AG9" i="71"/>
  <c r="AE9" i="71"/>
  <c r="AF9" i="71" s="1"/>
  <c r="AD9" i="71"/>
  <c r="Q9" i="71"/>
  <c r="P9" i="71"/>
  <c r="O9" i="71"/>
  <c r="N9" i="71"/>
  <c r="R19" i="77"/>
  <c r="AH10" i="71"/>
  <c r="AG10" i="71"/>
  <c r="AE10" i="71"/>
  <c r="AF10" i="71" s="1"/>
  <c r="AD10" i="71"/>
  <c r="Q10" i="71"/>
  <c r="P10" i="71"/>
  <c r="O10" i="71"/>
  <c r="N10" i="71"/>
  <c r="E24" i="43"/>
  <c r="Q32" i="43" s="1"/>
  <c r="N32" i="43"/>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s="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E23" i="71" s="1"/>
  <c r="E22"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c r="B54" i="72" s="1"/>
  <c r="E111" i="9"/>
  <c r="A126" i="9"/>
  <c r="A12" i="52" s="1"/>
  <c r="B56" i="72" s="1"/>
  <c r="E109" i="9"/>
  <c r="A124" i="9"/>
  <c r="A10" i="52" s="1"/>
  <c r="B55" i="72" s="1"/>
  <c r="B44" i="72"/>
  <c r="B42" i="72"/>
  <c r="B69" i="72"/>
  <c r="B68" i="72"/>
  <c r="B63" i="72"/>
  <c r="B62" i="72"/>
  <c r="B66" i="72"/>
  <c r="B10" i="72"/>
  <c r="C53" i="10"/>
  <c r="B51" i="10"/>
  <c r="B19" i="72"/>
  <c r="A18" i="51"/>
  <c r="B13" i="72" s="1"/>
  <c r="C8" i="68"/>
  <c r="B49" i="48"/>
  <c r="B5" i="72" s="1"/>
  <c r="D89" i="71"/>
  <c r="F88" i="71"/>
  <c r="E88" i="71"/>
  <c r="E87" i="71" s="1"/>
  <c r="E86" i="71" s="1"/>
  <c r="C88" i="71"/>
  <c r="D88" i="71" s="1"/>
  <c r="B88" i="71"/>
  <c r="F87" i="71"/>
  <c r="F86" i="71" s="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Q68" i="71" s="1"/>
  <c r="E68" i="71"/>
  <c r="P68" i="71" s="1"/>
  <c r="C68" i="71"/>
  <c r="T68" i="71" s="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E55" i="71" s="1"/>
  <c r="E56" i="71" s="1"/>
  <c r="U56" i="71" s="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P39" i="71"/>
  <c r="AA39" i="71" s="1"/>
  <c r="O39" i="71"/>
  <c r="Y39" i="71" s="1"/>
  <c r="Z39" i="71" s="1"/>
  <c r="N39" i="71"/>
  <c r="Q38" i="71"/>
  <c r="P38" i="71"/>
  <c r="AA38" i="71" s="1"/>
  <c r="O38" i="71"/>
  <c r="Y38" i="71" s="1"/>
  <c r="Z38" i="71" s="1"/>
  <c r="N38" i="71"/>
  <c r="X34" i="71" s="1"/>
  <c r="Q37" i="71"/>
  <c r="F38" i="71"/>
  <c r="P37" i="71"/>
  <c r="O37" i="71"/>
  <c r="C38" i="71" s="1"/>
  <c r="D38" i="71" s="1"/>
  <c r="N37" i="71"/>
  <c r="D37" i="71"/>
  <c r="Q36" i="71"/>
  <c r="P36" i="71"/>
  <c r="O36" i="71"/>
  <c r="Y36" i="71"/>
  <c r="Z36" i="71" s="1"/>
  <c r="N36" i="71"/>
  <c r="Q35" i="71"/>
  <c r="AB35" i="71" s="1"/>
  <c r="P35" i="71"/>
  <c r="O35" i="71"/>
  <c r="N35" i="71"/>
  <c r="Q34" i="71"/>
  <c r="P34" i="71"/>
  <c r="O34" i="71"/>
  <c r="Y34" i="71" s="1"/>
  <c r="Z34" i="71" s="1"/>
  <c r="N34" i="71"/>
  <c r="Q33" i="71"/>
  <c r="F34" i="71" s="1"/>
  <c r="F35" i="71" s="1"/>
  <c r="F36" i="71" s="1"/>
  <c r="V36" i="71" s="1"/>
  <c r="P33" i="71"/>
  <c r="E34" i="71"/>
  <c r="E35" i="71" s="1"/>
  <c r="E36" i="71" s="1"/>
  <c r="U36" i="71" s="1"/>
  <c r="O33" i="71"/>
  <c r="N33" i="71"/>
  <c r="D33" i="71"/>
  <c r="Q32" i="71"/>
  <c r="AB32" i="71" s="1"/>
  <c r="P32" i="71"/>
  <c r="O32" i="71"/>
  <c r="N32" i="71"/>
  <c r="Q31" i="71"/>
  <c r="AB31" i="71" s="1"/>
  <c r="P31" i="71"/>
  <c r="O31" i="71"/>
  <c r="N31" i="71"/>
  <c r="Q30" i="71"/>
  <c r="P30" i="71"/>
  <c r="AA30" i="71" s="1"/>
  <c r="O30" i="71"/>
  <c r="Y30" i="71" s="1"/>
  <c r="Z30" i="71" s="1"/>
  <c r="N30" i="71"/>
  <c r="Q29" i="71"/>
  <c r="F30" i="71" s="1"/>
  <c r="F31" i="71" s="1"/>
  <c r="P29" i="71"/>
  <c r="O29" i="71"/>
  <c r="N29" i="71"/>
  <c r="X29" i="71" s="1"/>
  <c r="D29" i="71"/>
  <c r="O28" i="71"/>
  <c r="C28" i="71" s="1"/>
  <c r="N28" i="71"/>
  <c r="B28" i="71" s="1"/>
  <c r="B34" i="71"/>
  <c r="B35" i="71" s="1"/>
  <c r="B36" i="71" s="1"/>
  <c r="S36" i="71" s="1"/>
  <c r="E38" i="71"/>
  <c r="N68" i="71"/>
  <c r="C30" i="71"/>
  <c r="D30" i="71" s="1"/>
  <c r="AA31" i="71"/>
  <c r="C34" i="71"/>
  <c r="X35" i="71"/>
  <c r="Y37" i="71"/>
  <c r="Z37" i="71" s="1"/>
  <c r="C31" i="71"/>
  <c r="D31" i="71" s="1"/>
  <c r="D34" i="71"/>
  <c r="C43" i="71"/>
  <c r="D43" i="71" s="1"/>
  <c r="C47" i="71"/>
  <c r="D47" i="71" s="1"/>
  <c r="D46" i="71"/>
  <c r="P28" i="71"/>
  <c r="AA24" i="71" s="1"/>
  <c r="E59" i="71"/>
  <c r="E60" i="71" s="1"/>
  <c r="U60" i="71" s="1"/>
  <c r="E67" i="71"/>
  <c r="E66" i="71" s="1"/>
  <c r="Q28" i="71"/>
  <c r="F28" i="71" s="1"/>
  <c r="F27" i="71" s="1"/>
  <c r="F26" i="71" s="1"/>
  <c r="D58" i="71"/>
  <c r="D62" i="71"/>
  <c r="B66" i="71"/>
  <c r="N66" i="71" s="1"/>
  <c r="O68" i="71"/>
  <c r="C67" i="71"/>
  <c r="O67" i="71" s="1"/>
  <c r="E71" i="71"/>
  <c r="E70" i="71" s="1"/>
  <c r="D72" i="71"/>
  <c r="C75" i="71"/>
  <c r="C74" i="71" s="1"/>
  <c r="D74" i="71" s="1"/>
  <c r="E75" i="71"/>
  <c r="E74" i="71" s="1"/>
  <c r="D76" i="71"/>
  <c r="C79" i="71"/>
  <c r="E79" i="71"/>
  <c r="E78" i="71" s="1"/>
  <c r="D80" i="71"/>
  <c r="C83" i="71"/>
  <c r="C82" i="71" s="1"/>
  <c r="D82" i="71" s="1"/>
  <c r="AB27" i="71"/>
  <c r="AA26" i="71"/>
  <c r="C66" i="71"/>
  <c r="O66" i="71" s="1"/>
  <c r="D67" i="71"/>
  <c r="D75" i="71"/>
  <c r="N65" i="71"/>
  <c r="D79" i="71"/>
  <c r="C78" i="71"/>
  <c r="D78" i="71" s="1"/>
  <c r="P67" i="71"/>
  <c r="C44" i="71"/>
  <c r="D44" i="71" s="1"/>
  <c r="C32" i="71"/>
  <c r="D32" i="71" s="1"/>
  <c r="D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68" i="43"/>
  <c r="S25" i="40"/>
  <c r="S18" i="36"/>
  <c r="H25" i="40"/>
  <c r="AB25" i="40" s="1"/>
  <c r="J25" i="40"/>
  <c r="AC25" i="40" s="1"/>
  <c r="H29" i="39"/>
  <c r="AB29" i="39" s="1"/>
  <c r="J29" i="39"/>
  <c r="AC29" i="39" s="1"/>
  <c r="J18" i="36"/>
  <c r="H18" i="35"/>
  <c r="AB18" i="35" s="1"/>
  <c r="J18" i="35"/>
  <c r="AC18" i="35" s="1"/>
  <c r="H21" i="34"/>
  <c r="H21" i="33"/>
  <c r="U21" i="33" s="1"/>
  <c r="F21" i="33"/>
  <c r="E83" i="21"/>
  <c r="F83" i="21" s="1"/>
  <c r="G83" i="21" s="1"/>
  <c r="S21" i="21"/>
  <c r="H1" i="69"/>
  <c r="W25" i="40"/>
  <c r="U25" i="40"/>
  <c r="W29" i="39"/>
  <c r="AB21" i="33"/>
  <c r="U18" i="35"/>
  <c r="W18" i="35"/>
  <c r="J21" i="34"/>
  <c r="W21" i="34" s="1"/>
  <c r="J21" i="33"/>
  <c r="H21" i="21"/>
  <c r="U21" i="21" s="1"/>
  <c r="F38" i="69"/>
  <c r="E37" i="69"/>
  <c r="F36" i="69"/>
  <c r="F35" i="69"/>
  <c r="F21" i="69"/>
  <c r="F20" i="69"/>
  <c r="F39" i="69" s="1"/>
  <c r="E10" i="69"/>
  <c r="E9" i="69"/>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c r="M89" i="43"/>
  <c r="N89" i="43" s="1"/>
  <c r="K89" i="43"/>
  <c r="D89" i="43" s="1"/>
  <c r="M88" i="43"/>
  <c r="N88" i="43" s="1"/>
  <c r="K88" i="43"/>
  <c r="D88" i="43" s="1"/>
  <c r="M87" i="43"/>
  <c r="N87" i="43" s="1"/>
  <c r="K87" i="43"/>
  <c r="D87" i="43" s="1"/>
  <c r="M86" i="43"/>
  <c r="N86" i="43" s="1"/>
  <c r="K86" i="43"/>
  <c r="D86" i="43"/>
  <c r="M85" i="43"/>
  <c r="N85" i="43" s="1"/>
  <c r="K85" i="43"/>
  <c r="D85" i="43" s="1"/>
  <c r="M84" i="43"/>
  <c r="N84" i="43" s="1"/>
  <c r="K84" i="43"/>
  <c r="D84" i="43"/>
  <c r="M83" i="43"/>
  <c r="N83" i="43" s="1"/>
  <c r="K83" i="43"/>
  <c r="J83" i="43" s="1"/>
  <c r="M80" i="43"/>
  <c r="N80" i="43" s="1"/>
  <c r="K80" i="43"/>
  <c r="J80" i="43" s="1"/>
  <c r="M79" i="43"/>
  <c r="N79" i="43" s="1"/>
  <c r="K79" i="43"/>
  <c r="J79" i="43" s="1"/>
  <c r="M78" i="43"/>
  <c r="N78" i="43" s="1"/>
  <c r="K78" i="43"/>
  <c r="J78" i="43" s="1"/>
  <c r="D78" i="43"/>
  <c r="M77" i="43"/>
  <c r="N77" i="43" s="1"/>
  <c r="K77" i="43"/>
  <c r="J77" i="43" s="1"/>
  <c r="D77" i="43"/>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c r="A7" i="1"/>
  <c r="B7" i="1" s="1"/>
  <c r="E7" i="1" s="1"/>
  <c r="A8" i="1"/>
  <c r="B8" i="1" s="1"/>
  <c r="E8" i="1" s="1"/>
  <c r="A9" i="1"/>
  <c r="A10" i="1"/>
  <c r="A11" i="1"/>
  <c r="B11" i="1" s="1"/>
  <c r="E11" i="1" s="1"/>
  <c r="A12" i="1"/>
  <c r="A13" i="1"/>
  <c r="B13" i="1" s="1"/>
  <c r="E13" i="1" s="1"/>
  <c r="A6"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H15" i="4"/>
  <c r="F6" i="1" s="1"/>
  <c r="F9" i="1"/>
  <c r="G9" i="1" s="1"/>
  <c r="G15" i="4"/>
  <c r="F12" i="1"/>
  <c r="G12" i="1" s="1"/>
  <c r="F15" i="4"/>
  <c r="F11" i="1"/>
  <c r="G11" i="1" s="1"/>
  <c r="D15" i="4"/>
  <c r="F7" i="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5" s="1"/>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M5"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L539" i="3" s="1"/>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A544" i="3" s="1"/>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F36"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S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AA37" i="33" s="1"/>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E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c r="AC37" i="39" s="1"/>
  <c r="D108" i="39"/>
  <c r="F34" i="39"/>
  <c r="D106" i="39"/>
  <c r="E106" i="39"/>
  <c r="F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B126" i="39"/>
  <c r="H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G94" i="39" s="1"/>
  <c r="D92" i="39"/>
  <c r="E92" i="39"/>
  <c r="F92" i="39" s="1"/>
  <c r="G92" i="39" s="1"/>
  <c r="D90" i="39"/>
  <c r="E90" i="39" s="1"/>
  <c r="F90" i="39" s="1"/>
  <c r="G90" i="39" s="1"/>
  <c r="D88" i="39"/>
  <c r="E88" i="39" s="1"/>
  <c r="F88" i="39" s="1"/>
  <c r="G88" i="39" s="1"/>
  <c r="B85" i="39"/>
  <c r="B83" i="39"/>
  <c r="J13" i="39" s="1"/>
  <c r="W13" i="39" s="1"/>
  <c r="B81" i="39"/>
  <c r="J12" i="39"/>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D105" i="37"/>
  <c r="E105" i="37" s="1"/>
  <c r="F105" i="37" s="1"/>
  <c r="G105" i="37" s="1"/>
  <c r="D103" i="37"/>
  <c r="E103" i="37" s="1"/>
  <c r="J35" i="37"/>
  <c r="W35" i="37" s="1"/>
  <c r="F97" i="37"/>
  <c r="E97" i="37"/>
  <c r="D97" i="37"/>
  <c r="C97" i="37"/>
  <c r="D96" i="37"/>
  <c r="E96" i="37" s="1"/>
  <c r="F96" i="37" s="1"/>
  <c r="G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F26" i="37" s="1"/>
  <c r="AA26" i="37" s="1"/>
  <c r="D79" i="37"/>
  <c r="E79" i="37" s="1"/>
  <c r="D75" i="37"/>
  <c r="E75" i="37" s="1"/>
  <c r="D73" i="37"/>
  <c r="E73" i="37" s="1"/>
  <c r="D71" i="37"/>
  <c r="B68" i="37"/>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c r="Q31" i="37"/>
  <c r="Z31" i="37"/>
  <c r="J31" i="37"/>
  <c r="AC31" i="37" s="1"/>
  <c r="Q30" i="37"/>
  <c r="Z30" i="37" s="1"/>
  <c r="Q29" i="37"/>
  <c r="Z29" i="37"/>
  <c r="H29" i="37"/>
  <c r="AB29" i="37" s="1"/>
  <c r="Q28" i="37"/>
  <c r="Z28" i="37" s="1"/>
  <c r="Q27" i="37"/>
  <c r="Z27" i="37" s="1"/>
  <c r="Q26" i="37"/>
  <c r="Z26" i="37" s="1"/>
  <c r="J26" i="37"/>
  <c r="AC26" i="37" s="1"/>
  <c r="H26" i="37"/>
  <c r="Q25" i="37"/>
  <c r="Z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AA25" i="36" s="1"/>
  <c r="B73" i="36"/>
  <c r="F24" i="36" s="1"/>
  <c r="B71" i="36"/>
  <c r="D70" i="36"/>
  <c r="H22" i="36"/>
  <c r="D68" i="36"/>
  <c r="E68" i="36" s="1"/>
  <c r="F68" i="36" s="1"/>
  <c r="G68" i="36" s="1"/>
  <c r="D64" i="36"/>
  <c r="E64" i="36" s="1"/>
  <c r="F64" i="36" s="1"/>
  <c r="G64" i="36" s="1"/>
  <c r="J16" i="36"/>
  <c r="D62" i="36"/>
  <c r="E62" i="36" s="1"/>
  <c r="F62" i="36" s="1"/>
  <c r="G62" i="36"/>
  <c r="B59" i="36"/>
  <c r="F13" i="36"/>
  <c r="S13" i="36" s="1"/>
  <c r="B57" i="36"/>
  <c r="J12" i="36"/>
  <c r="B55" i="36"/>
  <c r="C51" i="36"/>
  <c r="P37" i="36"/>
  <c r="P36" i="36"/>
  <c r="V35" i="36"/>
  <c r="T35" i="36"/>
  <c r="R35" i="36"/>
  <c r="P35" i="36"/>
  <c r="Q34" i="36"/>
  <c r="Z34" i="36"/>
  <c r="Q33" i="36"/>
  <c r="Z33" i="36"/>
  <c r="Q32" i="36"/>
  <c r="Z32" i="36"/>
  <c r="Q31" i="36"/>
  <c r="Z31" i="36"/>
  <c r="Q30" i="36"/>
  <c r="Z30" i="36"/>
  <c r="Q29" i="36"/>
  <c r="Z29" i="36"/>
  <c r="Q28" i="36"/>
  <c r="Z28" i="36"/>
  <c r="J28" i="36"/>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B73" i="35"/>
  <c r="B57" i="35"/>
  <c r="B61" i="35"/>
  <c r="B59" i="35"/>
  <c r="B131" i="34"/>
  <c r="B129" i="34"/>
  <c r="B127" i="34"/>
  <c r="B99" i="34"/>
  <c r="J32" i="34" s="1"/>
  <c r="W32" i="34" s="1"/>
  <c r="B97" i="34"/>
  <c r="J31" i="34" s="1"/>
  <c r="B95" i="34"/>
  <c r="B93" i="34"/>
  <c r="B75" i="34"/>
  <c r="B73" i="34"/>
  <c r="H13" i="34" s="1"/>
  <c r="B71" i="34"/>
  <c r="B130" i="33"/>
  <c r="J46" i="33" s="1"/>
  <c r="B128" i="33"/>
  <c r="J45" i="33" s="1"/>
  <c r="B126" i="33"/>
  <c r="H44" i="33" s="1"/>
  <c r="B98" i="33"/>
  <c r="B96" i="33"/>
  <c r="F30" i="33" s="1"/>
  <c r="B94" i="33"/>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B88" i="33"/>
  <c r="C23" i="33"/>
  <c r="C19" i="33"/>
  <c r="C17" i="33"/>
  <c r="C15" i="33"/>
  <c r="C15" i="21"/>
  <c r="D125" i="33"/>
  <c r="E125" i="33" s="1"/>
  <c r="F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25" i="39" s="1"/>
  <c r="C18" i="20"/>
  <c r="C17" i="20"/>
  <c r="B61" i="43" s="1"/>
  <c r="C16" i="20"/>
  <c r="C17" i="39" s="1"/>
  <c r="C15" i="20"/>
  <c r="E54" i="21"/>
  <c r="F54" i="21"/>
  <c r="I54" i="21"/>
  <c r="J54" i="21"/>
  <c r="G54" i="21"/>
  <c r="H54" i="21"/>
  <c r="D125" i="21"/>
  <c r="E125" i="21"/>
  <c r="F125" i="21" s="1"/>
  <c r="G125" i="21" s="1"/>
  <c r="D123" i="21"/>
  <c r="E123" i="2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AA46" i="21" s="1"/>
  <c r="B128" i="21"/>
  <c r="J45" i="21" s="1"/>
  <c r="W45" i="21" s="1"/>
  <c r="B126" i="21"/>
  <c r="B98" i="21"/>
  <c r="B96" i="21"/>
  <c r="F30" i="21" s="1"/>
  <c r="B94" i="21"/>
  <c r="B92" i="21"/>
  <c r="B90" i="21"/>
  <c r="B74" i="21"/>
  <c r="B72" i="21"/>
  <c r="B70" i="21"/>
  <c r="H12" i="21" s="1"/>
  <c r="U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C5" i="3" s="1"/>
  <c r="BD585" i="3"/>
  <c r="BE585" i="3"/>
  <c r="BE5" i="3" s="1"/>
  <c r="BF585" i="3"/>
  <c r="BG585" i="3"/>
  <c r="BH585" i="3"/>
  <c r="BI585" i="3"/>
  <c r="BI5" i="3" s="1"/>
  <c r="BJ585" i="3"/>
  <c r="BK585" i="3"/>
  <c r="BK5" i="3" s="1"/>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F43" i="21"/>
  <c r="S43" i="21" s="1"/>
  <c r="H38" i="2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s="1"/>
  <c r="AB12" i="21"/>
  <c r="J26" i="21"/>
  <c r="W26" i="21"/>
  <c r="F26" i="21"/>
  <c r="S26" i="21"/>
  <c r="J45" i="39"/>
  <c r="W45" i="39"/>
  <c r="H36" i="39"/>
  <c r="J36" i="39"/>
  <c r="AC36" i="39" s="1"/>
  <c r="F103" i="37"/>
  <c r="G103" i="37" s="1"/>
  <c r="H103" i="37" s="1"/>
  <c r="I103" i="37" s="1"/>
  <c r="J103" i="37" s="1"/>
  <c r="K103" i="37" s="1"/>
  <c r="L103" i="37" s="1"/>
  <c r="M103" i="37" s="1"/>
  <c r="F29" i="36"/>
  <c r="AA29" i="36" s="1"/>
  <c r="F16" i="36"/>
  <c r="H22" i="35"/>
  <c r="AB22" i="35" s="1"/>
  <c r="U31" i="35"/>
  <c r="F36" i="34"/>
  <c r="J35" i="34"/>
  <c r="H39" i="33"/>
  <c r="AB39" i="33" s="1"/>
  <c r="S40" i="33"/>
  <c r="W39" i="33"/>
  <c r="F11" i="40"/>
  <c r="AA11" i="40" s="1"/>
  <c r="H11" i="40"/>
  <c r="AB11" i="40" s="1"/>
  <c r="AB39" i="40"/>
  <c r="F42" i="39"/>
  <c r="AA42" i="39"/>
  <c r="F41" i="39"/>
  <c r="S41" i="39"/>
  <c r="H40" i="39"/>
  <c r="AB40" i="39"/>
  <c r="H39" i="39"/>
  <c r="U39" i="39"/>
  <c r="H34" i="39"/>
  <c r="E108" i="39"/>
  <c r="F108" i="39" s="1"/>
  <c r="G108" i="39" s="1"/>
  <c r="H108" i="39" s="1"/>
  <c r="I108" i="39" s="1"/>
  <c r="J108" i="39" s="1"/>
  <c r="K108" i="39" s="1"/>
  <c r="L108" i="39" s="1"/>
  <c r="M108" i="39" s="1"/>
  <c r="H31" i="39"/>
  <c r="AB31" i="39" s="1"/>
  <c r="F31" i="39"/>
  <c r="AA31" i="39" s="1"/>
  <c r="E100" i="39"/>
  <c r="F100" i="39" s="1"/>
  <c r="H19" i="39"/>
  <c r="F19" i="39"/>
  <c r="AA19" i="39" s="1"/>
  <c r="H17" i="39"/>
  <c r="AB17" i="39" s="1"/>
  <c r="F17" i="39"/>
  <c r="AA17" i="39" s="1"/>
  <c r="J23" i="40"/>
  <c r="AC23" i="40" s="1"/>
  <c r="F21" i="40"/>
  <c r="AA21" i="40" s="1"/>
  <c r="J21" i="40"/>
  <c r="H42" i="39"/>
  <c r="AB42" i="39" s="1"/>
  <c r="J34" i="39"/>
  <c r="AC34" i="39" s="1"/>
  <c r="J31" i="39"/>
  <c r="H27" i="39"/>
  <c r="U27" i="39" s="1"/>
  <c r="J19" i="39"/>
  <c r="J17" i="39"/>
  <c r="J27" i="39"/>
  <c r="F27" i="39"/>
  <c r="F11" i="21"/>
  <c r="S11" i="21" s="1"/>
  <c r="S40" i="21"/>
  <c r="H11" i="39"/>
  <c r="H32" i="33"/>
  <c r="AB32" i="33"/>
  <c r="H11" i="21"/>
  <c r="U11" i="21"/>
  <c r="J11" i="21"/>
  <c r="W11" i="21"/>
  <c r="H37" i="40"/>
  <c r="U37" i="40"/>
  <c r="H36" i="40"/>
  <c r="AB36" i="40"/>
  <c r="F35" i="40"/>
  <c r="AA35" i="40"/>
  <c r="H23" i="40"/>
  <c r="H17" i="40"/>
  <c r="U17" i="40" s="1"/>
  <c r="J15" i="40"/>
  <c r="J11" i="40"/>
  <c r="F37" i="39"/>
  <c r="AA37" i="39" s="1"/>
  <c r="J34" i="36"/>
  <c r="W34" i="36" s="1"/>
  <c r="J30" i="35"/>
  <c r="W30" i="35" s="1"/>
  <c r="H30" i="35"/>
  <c r="AB30" i="35" s="1"/>
  <c r="F22" i="35"/>
  <c r="H10" i="35"/>
  <c r="U10" i="35" s="1"/>
  <c r="AA33" i="36"/>
  <c r="H16" i="36"/>
  <c r="J29" i="36"/>
  <c r="AC29" i="36" s="1"/>
  <c r="F12" i="36"/>
  <c r="S12" i="36" s="1"/>
  <c r="F14" i="35"/>
  <c r="AA14" i="35" s="1"/>
  <c r="J32" i="35"/>
  <c r="AC32" i="35" s="1"/>
  <c r="J16" i="35"/>
  <c r="AC16" i="35" s="1"/>
  <c r="H16" i="35"/>
  <c r="U16" i="35" s="1"/>
  <c r="F16" i="35"/>
  <c r="S16" i="35" s="1"/>
  <c r="H14" i="35"/>
  <c r="AB14" i="35" s="1"/>
  <c r="J29" i="35"/>
  <c r="H33" i="35"/>
  <c r="J20" i="35"/>
  <c r="W20" i="35" s="1"/>
  <c r="F35" i="37"/>
  <c r="S35" i="37" s="1"/>
  <c r="J34" i="37"/>
  <c r="W34" i="37" s="1"/>
  <c r="H40" i="34"/>
  <c r="U40" i="34" s="1"/>
  <c r="H36" i="34"/>
  <c r="U36" i="34" s="1"/>
  <c r="F37" i="34"/>
  <c r="AA37" i="34" s="1"/>
  <c r="S35" i="34"/>
  <c r="F25" i="34"/>
  <c r="H23" i="34"/>
  <c r="J23" i="34"/>
  <c r="F19" i="34"/>
  <c r="H17" i="34"/>
  <c r="F15" i="34"/>
  <c r="J15" i="34"/>
  <c r="H15" i="34"/>
  <c r="AB15" i="34" s="1"/>
  <c r="W8" i="34"/>
  <c r="F41" i="33"/>
  <c r="AA41" i="33"/>
  <c r="E113" i="33"/>
  <c r="F113" i="33" s="1"/>
  <c r="G113" i="33" s="1"/>
  <c r="H113" i="33" s="1"/>
  <c r="I113" i="33" s="1"/>
  <c r="J113" i="33" s="1"/>
  <c r="K113" i="33" s="1"/>
  <c r="L113" i="33" s="1"/>
  <c r="M113" i="33" s="1"/>
  <c r="F32" i="33"/>
  <c r="AA32" i="33" s="1"/>
  <c r="J19" i="33"/>
  <c r="J15" i="33"/>
  <c r="F11" i="33"/>
  <c r="AA11" i="33" s="1"/>
  <c r="F37" i="40"/>
  <c r="AA37" i="40"/>
  <c r="F36" i="40"/>
  <c r="AA36" i="40"/>
  <c r="H28" i="40"/>
  <c r="U28" i="40"/>
  <c r="F23" i="40"/>
  <c r="AA23" i="40"/>
  <c r="F17" i="40"/>
  <c r="AA17" i="40"/>
  <c r="J17" i="40"/>
  <c r="W17" i="40"/>
  <c r="F15" i="40"/>
  <c r="S15" i="40"/>
  <c r="H15" i="40"/>
  <c r="AB15" i="40"/>
  <c r="AA12" i="36"/>
  <c r="AB30" i="36"/>
  <c r="F29" i="35"/>
  <c r="H29" i="35"/>
  <c r="F33" i="37"/>
  <c r="AA33" i="37" s="1"/>
  <c r="U34" i="37"/>
  <c r="J43" i="34"/>
  <c r="J40" i="34"/>
  <c r="H38" i="34"/>
  <c r="AB38" i="34" s="1"/>
  <c r="J36" i="34"/>
  <c r="H37" i="34"/>
  <c r="U37" i="34" s="1"/>
  <c r="H25" i="34"/>
  <c r="AB25" i="34" s="1"/>
  <c r="J25" i="34"/>
  <c r="F23" i="34"/>
  <c r="J19" i="34"/>
  <c r="AC19" i="34" s="1"/>
  <c r="F17" i="34"/>
  <c r="AA17" i="34" s="1"/>
  <c r="J17" i="34"/>
  <c r="S41" i="33"/>
  <c r="H37" i="33"/>
  <c r="AB37" i="33" s="1"/>
  <c r="H15" i="33"/>
  <c r="AB15" i="33" s="1"/>
  <c r="H11" i="33"/>
  <c r="F28" i="40"/>
  <c r="AA38" i="34"/>
  <c r="J37" i="34"/>
  <c r="AC37" i="34" s="1"/>
  <c r="J11" i="33"/>
  <c r="W11" i="33" s="1"/>
  <c r="J42" i="21"/>
  <c r="AC42" i="21" s="1"/>
  <c r="H42" i="21"/>
  <c r="U42" i="21" s="1"/>
  <c r="J44" i="34"/>
  <c r="F44" i="34"/>
  <c r="AA44" i="34" s="1"/>
  <c r="J10" i="35"/>
  <c r="AC10" i="35" s="1"/>
  <c r="J44" i="21"/>
  <c r="F33" i="35"/>
  <c r="J33" i="35"/>
  <c r="AC33" i="35" s="1"/>
  <c r="F30" i="35"/>
  <c r="S30" i="35" s="1"/>
  <c r="H10" i="36"/>
  <c r="AB10" i="36" s="1"/>
  <c r="J14" i="36"/>
  <c r="H14" i="36"/>
  <c r="U14" i="36" s="1"/>
  <c r="F28" i="36"/>
  <c r="AA28" i="36" s="1"/>
  <c r="F45" i="21"/>
  <c r="AA45" i="21" s="1"/>
  <c r="J29" i="33"/>
  <c r="AC29" i="33" s="1"/>
  <c r="H31" i="33"/>
  <c r="J14" i="34"/>
  <c r="W14" i="34" s="1"/>
  <c r="J30" i="34"/>
  <c r="F46" i="34"/>
  <c r="J26" i="36"/>
  <c r="W26" i="36" s="1"/>
  <c r="H28" i="36"/>
  <c r="U28" i="36" s="1"/>
  <c r="J11" i="36"/>
  <c r="AC11" i="36" s="1"/>
  <c r="H11" i="36"/>
  <c r="U11" i="36" s="1"/>
  <c r="F11" i="36"/>
  <c r="AA11" i="36" s="1"/>
  <c r="H13" i="36"/>
  <c r="J13" i="36"/>
  <c r="J29" i="37"/>
  <c r="W29" i="37" s="1"/>
  <c r="F29" i="37"/>
  <c r="S29" i="37" s="1"/>
  <c r="H36" i="37"/>
  <c r="AB36" i="37" s="1"/>
  <c r="J37" i="37"/>
  <c r="AC37" i="37" s="1"/>
  <c r="J40" i="37"/>
  <c r="F14" i="33"/>
  <c r="J30" i="33"/>
  <c r="F44" i="33"/>
  <c r="F46" i="33"/>
  <c r="J13" i="34"/>
  <c r="H29" i="34"/>
  <c r="AB29" i="34" s="1"/>
  <c r="J13" i="35"/>
  <c r="AC13" i="35" s="1"/>
  <c r="J25" i="35"/>
  <c r="W25" i="35" s="1"/>
  <c r="F25" i="35"/>
  <c r="H25" i="35"/>
  <c r="AB25" i="35" s="1"/>
  <c r="J35" i="35"/>
  <c r="AC35" i="35" s="1"/>
  <c r="F35" i="35"/>
  <c r="AA35" i="35" s="1"/>
  <c r="H35" i="35"/>
  <c r="J25" i="36"/>
  <c r="W25" i="36" s="1"/>
  <c r="H25" i="36"/>
  <c r="AB25" i="36" s="1"/>
  <c r="H13" i="37"/>
  <c r="J13" i="37"/>
  <c r="W13" i="37" s="1"/>
  <c r="J28" i="37"/>
  <c r="H38" i="37"/>
  <c r="AB38" i="37" s="1"/>
  <c r="F38" i="37"/>
  <c r="S38" i="37" s="1"/>
  <c r="J14" i="39"/>
  <c r="AC14" i="39" s="1"/>
  <c r="F14" i="39"/>
  <c r="H14" i="39"/>
  <c r="F12" i="40"/>
  <c r="J35" i="40"/>
  <c r="J37" i="40"/>
  <c r="AC37" i="40" s="1"/>
  <c r="H14" i="40"/>
  <c r="AB14" i="40" s="1"/>
  <c r="F14" i="40"/>
  <c r="AA14" i="40" s="1"/>
  <c r="J14" i="37"/>
  <c r="J36" i="37"/>
  <c r="AC36" i="37" s="1"/>
  <c r="J10" i="36"/>
  <c r="AC10" i="36" s="1"/>
  <c r="S44" i="34"/>
  <c r="F17" i="21"/>
  <c r="AA17" i="21" s="1"/>
  <c r="H17" i="21"/>
  <c r="AB17" i="21" s="1"/>
  <c r="F15" i="21"/>
  <c r="S15" i="21" s="1"/>
  <c r="J41" i="39"/>
  <c r="W41" i="39" s="1"/>
  <c r="AC45" i="39"/>
  <c r="G536" i="3"/>
  <c r="G500" i="3"/>
  <c r="G554" i="3"/>
  <c r="BL564" i="3"/>
  <c r="BL498" i="3"/>
  <c r="BL514" i="3"/>
  <c r="BA556" i="3"/>
  <c r="BA534" i="3"/>
  <c r="BA498" i="3"/>
  <c r="BA583" i="3"/>
  <c r="BA533" i="3"/>
  <c r="BA515" i="3"/>
  <c r="BA493" i="3"/>
  <c r="G575" i="3"/>
  <c r="G567" i="3"/>
  <c r="BL558" i="3"/>
  <c r="AC557" i="3"/>
  <c r="G557" i="3" s="1"/>
  <c r="BQ557" i="3"/>
  <c r="BQ583" i="3"/>
  <c r="BL583" i="3" s="1"/>
  <c r="AZ583" i="3" s="1"/>
  <c r="BQ581" i="3"/>
  <c r="BQ579" i="3"/>
  <c r="BQ577" i="3"/>
  <c r="BQ575" i="3"/>
  <c r="BQ573" i="3"/>
  <c r="BQ571" i="3"/>
  <c r="BL571" i="3" s="1"/>
  <c r="BQ569" i="3"/>
  <c r="BL569" i="3"/>
  <c r="BQ567" i="3"/>
  <c r="BL567" i="3"/>
  <c r="BQ565" i="3"/>
  <c r="BQ563" i="3"/>
  <c r="BQ561" i="3"/>
  <c r="BQ559" i="3"/>
  <c r="BL559" i="3" s="1"/>
  <c r="G547" i="3"/>
  <c r="BQ555" i="3"/>
  <c r="BQ553" i="3"/>
  <c r="BQ551" i="3"/>
  <c r="BQ549" i="3"/>
  <c r="BQ547" i="3"/>
  <c r="BQ545" i="3"/>
  <c r="BQ543" i="3"/>
  <c r="BQ541" i="3"/>
  <c r="BQ539" i="3"/>
  <c r="BQ537" i="3"/>
  <c r="BQ535" i="3"/>
  <c r="BQ533" i="3"/>
  <c r="BQ531" i="3"/>
  <c r="BL531" i="3" s="1"/>
  <c r="BQ529" i="3"/>
  <c r="BQ527" i="3"/>
  <c r="BQ525" i="3"/>
  <c r="BQ523" i="3"/>
  <c r="AC521" i="3"/>
  <c r="BQ521" i="3"/>
  <c r="BL520" i="3"/>
  <c r="BQ519" i="3"/>
  <c r="BL519" i="3" s="1"/>
  <c r="BQ517" i="3"/>
  <c r="BQ515" i="3"/>
  <c r="BQ513" i="3"/>
  <c r="BQ511" i="3"/>
  <c r="AC509" i="3"/>
  <c r="BQ509" i="3"/>
  <c r="G507" i="3"/>
  <c r="G499" i="3"/>
  <c r="BQ507" i="3"/>
  <c r="BL507" i="3" s="1"/>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G125" i="33"/>
  <c r="H43" i="33"/>
  <c r="AB43" i="33" s="1"/>
  <c r="U32" i="33"/>
  <c r="F39" i="33"/>
  <c r="AA39" i="33" s="1"/>
  <c r="E123" i="33"/>
  <c r="F123" i="33" s="1"/>
  <c r="G123" i="33" s="1"/>
  <c r="H123" i="33" s="1"/>
  <c r="I123" i="33" s="1"/>
  <c r="J123" i="33" s="1"/>
  <c r="K123" i="33" s="1"/>
  <c r="L123" i="33" s="1"/>
  <c r="M123" i="33" s="1"/>
  <c r="F42" i="33"/>
  <c r="AA42" i="33" s="1"/>
  <c r="F14" i="36"/>
  <c r="AA14" i="36" s="1"/>
  <c r="F22" i="36"/>
  <c r="S22" i="36" s="1"/>
  <c r="F26" i="36"/>
  <c r="H35" i="34"/>
  <c r="U35" i="34" s="1"/>
  <c r="F41" i="34"/>
  <c r="S41" i="34" s="1"/>
  <c r="H41" i="34"/>
  <c r="U41" i="34" s="1"/>
  <c r="J41" i="34"/>
  <c r="AC41" i="34" s="1"/>
  <c r="F10" i="35"/>
  <c r="S10" i="35" s="1"/>
  <c r="H24" i="35"/>
  <c r="AB24" i="35" s="1"/>
  <c r="J32" i="37"/>
  <c r="AC32" i="37" s="1"/>
  <c r="F36" i="37"/>
  <c r="AA36" i="37" s="1"/>
  <c r="F37" i="37"/>
  <c r="AA37" i="37" s="1"/>
  <c r="F32" i="40"/>
  <c r="S32" i="40" s="1"/>
  <c r="H32" i="40"/>
  <c r="AB32" i="40" s="1"/>
  <c r="J36" i="40"/>
  <c r="W36" i="40" s="1"/>
  <c r="H42" i="33"/>
  <c r="AB42" i="33" s="1"/>
  <c r="J43" i="33"/>
  <c r="AC43" i="33" s="1"/>
  <c r="U43" i="33"/>
  <c r="S28" i="31"/>
  <c r="S27" i="31"/>
  <c r="S26" i="31"/>
  <c r="U14" i="40"/>
  <c r="W26" i="37"/>
  <c r="U19" i="21"/>
  <c r="U26" i="21"/>
  <c r="F43" i="33"/>
  <c r="AA43" i="33" s="1"/>
  <c r="W16" i="35"/>
  <c r="H37" i="21"/>
  <c r="U37" i="21"/>
  <c r="H19" i="34"/>
  <c r="AB19" i="34" s="1"/>
  <c r="F36" i="35"/>
  <c r="S36" i="35" s="1"/>
  <c r="H9" i="37"/>
  <c r="U9" i="37" s="1"/>
  <c r="J12" i="37"/>
  <c r="E71" i="37"/>
  <c r="F71" i="37" s="1"/>
  <c r="G71" i="37" s="1"/>
  <c r="F31" i="37"/>
  <c r="S31" i="37" s="1"/>
  <c r="F12" i="39"/>
  <c r="S12" i="39" s="1"/>
  <c r="J42" i="39"/>
  <c r="AC42" i="39" s="1"/>
  <c r="H21" i="40"/>
  <c r="H31" i="37"/>
  <c r="U31" i="37" s="1"/>
  <c r="J15" i="37"/>
  <c r="W15" i="37" s="1"/>
  <c r="AT6" i="3"/>
  <c r="AA25" i="21"/>
  <c r="H19" i="40"/>
  <c r="U19" i="40" s="1"/>
  <c r="F19" i="40"/>
  <c r="S14" i="40"/>
  <c r="W23" i="39"/>
  <c r="G100" i="39"/>
  <c r="H37" i="39"/>
  <c r="W37" i="39"/>
  <c r="H25" i="39"/>
  <c r="AB25" i="39"/>
  <c r="J25" i="39"/>
  <c r="F25" i="39"/>
  <c r="AA25" i="39" s="1"/>
  <c r="F15" i="39"/>
  <c r="AA15" i="39" s="1"/>
  <c r="H15" i="39"/>
  <c r="U15" i="39" s="1"/>
  <c r="J15" i="39"/>
  <c r="W15" i="39" s="1"/>
  <c r="H41" i="39"/>
  <c r="AB41" i="39" s="1"/>
  <c r="U40" i="39"/>
  <c r="S42" i="39"/>
  <c r="AA41" i="39"/>
  <c r="W8" i="39"/>
  <c r="J19" i="40"/>
  <c r="AC19" i="40"/>
  <c r="J50" i="40"/>
  <c r="H103" i="9"/>
  <c r="D8" i="53" s="1"/>
  <c r="B16" i="53"/>
  <c r="B33" i="72" s="1"/>
  <c r="C7" i="34"/>
  <c r="A118" i="9"/>
  <c r="A4" i="52"/>
  <c r="B41" i="72" s="1"/>
  <c r="J11" i="39"/>
  <c r="W11" i="39" s="1"/>
  <c r="F11" i="39"/>
  <c r="G4" i="4"/>
  <c r="I4" i="4"/>
  <c r="A2" i="9"/>
  <c r="F61" i="43"/>
  <c r="H64" i="43" s="1"/>
  <c r="AZ20" i="3"/>
  <c r="AZ24" i="3"/>
  <c r="AZ28" i="3"/>
  <c r="G546" i="3"/>
  <c r="G303" i="3"/>
  <c r="BL304" i="3"/>
  <c r="G305" i="3"/>
  <c r="BL306" i="3"/>
  <c r="BA308" i="3"/>
  <c r="AZ308" i="3" s="1"/>
  <c r="BA309" i="3"/>
  <c r="BL309" i="3"/>
  <c r="G310" i="3"/>
  <c r="BA311" i="3"/>
  <c r="G319" i="3"/>
  <c r="BL320" i="3"/>
  <c r="G321" i="3"/>
  <c r="BL322" i="3"/>
  <c r="BA324" i="3"/>
  <c r="AZ324" i="3" s="1"/>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s="1"/>
  <c r="BL116" i="3"/>
  <c r="AZ116" i="3" s="1"/>
  <c r="G117" i="3"/>
  <c r="BA119" i="3"/>
  <c r="AZ119" i="3" s="1"/>
  <c r="BL120" i="3"/>
  <c r="AZ120" i="3" s="1"/>
  <c r="G121" i="3"/>
  <c r="BA123" i="3"/>
  <c r="BL124" i="3"/>
  <c r="G125" i="3"/>
  <c r="BA127" i="3"/>
  <c r="BL128" i="3"/>
  <c r="G129" i="3"/>
  <c r="BA131" i="3"/>
  <c r="AZ131" i="3" s="1"/>
  <c r="BL132" i="3"/>
  <c r="G133" i="3"/>
  <c r="BA135" i="3"/>
  <c r="AZ135" i="3" s="1"/>
  <c r="BL136" i="3"/>
  <c r="G137" i="3"/>
  <c r="BA139" i="3"/>
  <c r="AZ139" i="3" s="1"/>
  <c r="BL140" i="3"/>
  <c r="G141" i="3"/>
  <c r="BA143" i="3"/>
  <c r="AZ143" i="3" s="1"/>
  <c r="BL144" i="3"/>
  <c r="AZ144" i="3" s="1"/>
  <c r="G145" i="3"/>
  <c r="BA147" i="3"/>
  <c r="AZ147" i="3" s="1"/>
  <c r="BL148" i="3"/>
  <c r="G149" i="3"/>
  <c r="BA151" i="3"/>
  <c r="BL152" i="3"/>
  <c r="G153" i="3"/>
  <c r="BA155" i="3"/>
  <c r="BL156" i="3"/>
  <c r="G157" i="3"/>
  <c r="BA159" i="3"/>
  <c r="AZ159" i="3"/>
  <c r="BL160" i="3"/>
  <c r="G161" i="3"/>
  <c r="BA163" i="3"/>
  <c r="AZ163" i="3"/>
  <c r="BL164" i="3"/>
  <c r="AZ164" i="3"/>
  <c r="G165" i="3"/>
  <c r="BA167" i="3"/>
  <c r="BL168" i="3"/>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AZ200" i="3" s="1"/>
  <c r="G201" i="3"/>
  <c r="BA203" i="3"/>
  <c r="BL204" i="3"/>
  <c r="AZ204" i="3" s="1"/>
  <c r="AZ39" i="3"/>
  <c r="AZ43" i="3"/>
  <c r="AZ47" i="3"/>
  <c r="AZ83" i="3"/>
  <c r="AZ168" i="3"/>
  <c r="AZ85" i="3"/>
  <c r="AZ105" i="3"/>
  <c r="AZ109" i="3"/>
  <c r="G534" i="3"/>
  <c r="G522" i="3"/>
  <c r="G512" i="3"/>
  <c r="G498" i="3"/>
  <c r="G16" i="3"/>
  <c r="BA304" i="3"/>
  <c r="BA305" i="3"/>
  <c r="BL305" i="3"/>
  <c r="G306" i="3"/>
  <c r="G309" i="3"/>
  <c r="BL310" i="3"/>
  <c r="BA312" i="3"/>
  <c r="AZ312" i="3" s="1"/>
  <c r="BA313" i="3"/>
  <c r="BL313" i="3"/>
  <c r="AZ313" i="3" s="1"/>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BA344" i="3"/>
  <c r="BL344" i="3"/>
  <c r="BA346" i="3"/>
  <c r="AZ346" i="3" s="1"/>
  <c r="BA347" i="3"/>
  <c r="BL347" i="3"/>
  <c r="G350" i="3"/>
  <c r="BA351" i="3"/>
  <c r="AZ351" i="3" s="1"/>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AZ390" i="3" s="1"/>
  <c r="G391" i="3"/>
  <c r="G394" i="3"/>
  <c r="AZ142" i="3"/>
  <c r="AZ162" i="3"/>
  <c r="AZ194" i="3"/>
  <c r="BL303" i="3"/>
  <c r="AZ303" i="3" s="1"/>
  <c r="G304" i="3"/>
  <c r="BA306" i="3"/>
  <c r="AZ306" i="3" s="1"/>
  <c r="BL307" i="3"/>
  <c r="G308" i="3"/>
  <c r="BA310" i="3"/>
  <c r="AZ310" i="3" s="1"/>
  <c r="BL311" i="3"/>
  <c r="AZ311" i="3" s="1"/>
  <c r="G312" i="3"/>
  <c r="BA314" i="3"/>
  <c r="AZ314" i="3" s="1"/>
  <c r="BL315" i="3"/>
  <c r="AZ315" i="3" s="1"/>
  <c r="G316" i="3"/>
  <c r="BA318" i="3"/>
  <c r="BL319" i="3"/>
  <c r="G320" i="3"/>
  <c r="BA322" i="3"/>
  <c r="AZ322" i="3" s="1"/>
  <c r="BL323" i="3"/>
  <c r="AZ323" i="3" s="1"/>
  <c r="G324" i="3"/>
  <c r="BA326" i="3"/>
  <c r="AZ326" i="3"/>
  <c r="BL327" i="3"/>
  <c r="G328" i="3"/>
  <c r="BA330" i="3"/>
  <c r="AZ330" i="3"/>
  <c r="BL331" i="3"/>
  <c r="G332" i="3"/>
  <c r="BA334" i="3"/>
  <c r="BL335" i="3"/>
  <c r="G336" i="3"/>
  <c r="BA338" i="3"/>
  <c r="AZ338" i="3"/>
  <c r="BL339" i="3"/>
  <c r="G340" i="3"/>
  <c r="BL343" i="3"/>
  <c r="G344" i="3"/>
  <c r="G348" i="3"/>
  <c r="G355" i="3"/>
  <c r="AZ319" i="3"/>
  <c r="G342" i="3"/>
  <c r="BL345" i="3"/>
  <c r="G346" i="3"/>
  <c r="BL349" i="3"/>
  <c r="AZ349" i="3" s="1"/>
  <c r="BL352" i="3"/>
  <c r="G353" i="3"/>
  <c r="BA357" i="3"/>
  <c r="BL358" i="3"/>
  <c r="G359" i="3"/>
  <c r="BA361" i="3"/>
  <c r="AZ361" i="3" s="1"/>
  <c r="BL362" i="3"/>
  <c r="AZ362" i="3" s="1"/>
  <c r="G363" i="3"/>
  <c r="BA365" i="3"/>
  <c r="AZ365" i="3" s="1"/>
  <c r="BL366" i="3"/>
  <c r="AZ366" i="3" s="1"/>
  <c r="G367" i="3"/>
  <c r="BA369" i="3"/>
  <c r="AZ369" i="3" s="1"/>
  <c r="BL370" i="3"/>
  <c r="G371" i="3"/>
  <c r="BA373" i="3"/>
  <c r="AZ373" i="3" s="1"/>
  <c r="BL374" i="3"/>
  <c r="G375" i="3"/>
  <c r="BA377" i="3"/>
  <c r="BA379" i="3"/>
  <c r="AZ379" i="3" s="1"/>
  <c r="BL380" i="3"/>
  <c r="G381" i="3"/>
  <c r="BA383" i="3"/>
  <c r="BL384" i="3"/>
  <c r="G385" i="3"/>
  <c r="BA387" i="3"/>
  <c r="AZ387" i="3" s="1"/>
  <c r="BL388" i="3"/>
  <c r="AZ388" i="3" s="1"/>
  <c r="G389" i="3"/>
  <c r="BA391" i="3"/>
  <c r="BL392" i="3"/>
  <c r="G393" i="3"/>
  <c r="AZ287" i="3"/>
  <c r="AZ295" i="3"/>
  <c r="AZ299" i="3"/>
  <c r="G548" i="3"/>
  <c r="G520" i="3"/>
  <c r="BP5" i="3"/>
  <c r="G17" i="3"/>
  <c r="AZ368" i="3"/>
  <c r="BA15" i="3"/>
  <c r="AZ392" i="3"/>
  <c r="G509" i="3"/>
  <c r="U36" i="40"/>
  <c r="F83" i="43"/>
  <c r="H85" i="43" s="1"/>
  <c r="F50" i="43"/>
  <c r="H54" i="43" s="1"/>
  <c r="F72" i="43"/>
  <c r="H75" i="43" s="1"/>
  <c r="S14" i="35"/>
  <c r="U43" i="21"/>
  <c r="AC35" i="21"/>
  <c r="G8" i="1"/>
  <c r="G10" i="1"/>
  <c r="J37" i="33"/>
  <c r="W37" i="33" s="1"/>
  <c r="G106" i="33"/>
  <c r="H106" i="33" s="1"/>
  <c r="I106" i="33" s="1"/>
  <c r="J106" i="33" s="1"/>
  <c r="K106" i="33" s="1"/>
  <c r="L106" i="33" s="1"/>
  <c r="M106" i="33" s="1"/>
  <c r="J34" i="33"/>
  <c r="W34" i="33"/>
  <c r="F33" i="34"/>
  <c r="S33" i="34"/>
  <c r="H20" i="36"/>
  <c r="U20" i="36" s="1"/>
  <c r="J20" i="36"/>
  <c r="W20" i="36" s="1"/>
  <c r="J27" i="36"/>
  <c r="W27" i="36" s="1"/>
  <c r="F111" i="40"/>
  <c r="G111" i="40" s="1"/>
  <c r="H111" i="40" s="1"/>
  <c r="I111" i="40" s="1"/>
  <c r="J111" i="40" s="1"/>
  <c r="K111" i="40" s="1"/>
  <c r="L111" i="40" s="1"/>
  <c r="M111" i="40" s="1"/>
  <c r="H35" i="40"/>
  <c r="H35" i="37"/>
  <c r="U35" i="37" s="1"/>
  <c r="H20" i="35"/>
  <c r="U20" i="35" s="1"/>
  <c r="F20" i="35"/>
  <c r="AB29" i="36"/>
  <c r="U29" i="36"/>
  <c r="H32" i="37"/>
  <c r="AB32" i="37" s="1"/>
  <c r="H27" i="40"/>
  <c r="U27" i="40" s="1"/>
  <c r="J27" i="40"/>
  <c r="AC27" i="40" s="1"/>
  <c r="F27" i="40"/>
  <c r="S27" i="40" s="1"/>
  <c r="F30" i="40"/>
  <c r="S11" i="40"/>
  <c r="F98" i="40"/>
  <c r="G98" i="40" s="1"/>
  <c r="H98" i="40" s="1"/>
  <c r="I98" i="40" s="1"/>
  <c r="J98" i="40" s="1"/>
  <c r="K98" i="40" s="1"/>
  <c r="L98" i="40" s="1"/>
  <c r="M98" i="40" s="1"/>
  <c r="F10" i="33"/>
  <c r="S10" i="33" s="1"/>
  <c r="F34" i="33"/>
  <c r="H34" i="33"/>
  <c r="U34" i="33" s="1"/>
  <c r="F35" i="33"/>
  <c r="S35" i="33" s="1"/>
  <c r="F39" i="34"/>
  <c r="J39" i="34"/>
  <c r="F40" i="34"/>
  <c r="S40" i="34" s="1"/>
  <c r="F43" i="34"/>
  <c r="AA43" i="34" s="1"/>
  <c r="H44" i="34"/>
  <c r="AB44" i="34" s="1"/>
  <c r="AC38" i="39"/>
  <c r="F39" i="39"/>
  <c r="S39" i="39" s="1"/>
  <c r="J39" i="39"/>
  <c r="AC39" i="39" s="1"/>
  <c r="C40" i="11"/>
  <c r="AZ280" i="3"/>
  <c r="AZ288" i="3"/>
  <c r="AZ114" i="3"/>
  <c r="AZ29" i="3"/>
  <c r="AZ31" i="3"/>
  <c r="AZ33" i="3"/>
  <c r="AZ37" i="3"/>
  <c r="AZ45" i="3"/>
  <c r="AZ50" i="3"/>
  <c r="AZ58" i="3"/>
  <c r="AZ66" i="3"/>
  <c r="AZ82" i="3"/>
  <c r="AZ86" i="3"/>
  <c r="AZ110" i="3"/>
  <c r="F23" i="39"/>
  <c r="AA23" i="39" s="1"/>
  <c r="H27" i="36"/>
  <c r="U27" i="36" s="1"/>
  <c r="F27" i="36"/>
  <c r="AA27" i="36" s="1"/>
  <c r="H33" i="34"/>
  <c r="U33" i="34" s="1"/>
  <c r="F32" i="37"/>
  <c r="AA32" i="37" s="1"/>
  <c r="H96" i="37"/>
  <c r="I96" i="37" s="1"/>
  <c r="J96" i="37" s="1"/>
  <c r="K96" i="37" s="1"/>
  <c r="L96" i="37" s="1"/>
  <c r="M96" i="37" s="1"/>
  <c r="F20" i="36"/>
  <c r="AA20" i="36" s="1"/>
  <c r="J33" i="34"/>
  <c r="AC33" i="34" s="1"/>
  <c r="H23" i="39"/>
  <c r="U23" i="39" s="1"/>
  <c r="D48" i="9"/>
  <c r="M52" i="9" s="1"/>
  <c r="K9" i="1"/>
  <c r="M9" i="1" s="1"/>
  <c r="K6" i="1"/>
  <c r="AP6" i="1"/>
  <c r="W12" i="39"/>
  <c r="AC39" i="40"/>
  <c r="W39" i="40"/>
  <c r="AZ417" i="3"/>
  <c r="AZ428" i="3"/>
  <c r="S19" i="39"/>
  <c r="H12" i="39"/>
  <c r="F39" i="40"/>
  <c r="BA14" i="3"/>
  <c r="AZ286" i="3"/>
  <c r="AZ297" i="3"/>
  <c r="AZ157" i="3"/>
  <c r="AZ189" i="3"/>
  <c r="AZ26" i="3"/>
  <c r="AZ35" i="3"/>
  <c r="AZ41" i="3"/>
  <c r="B12" i="1"/>
  <c r="E12" i="1" s="1"/>
  <c r="B10" i="1"/>
  <c r="E10" i="1" s="1"/>
  <c r="AZ80" i="3"/>
  <c r="AZ84" i="3"/>
  <c r="AZ88" i="3"/>
  <c r="AZ107" i="3"/>
  <c r="AZ111" i="3"/>
  <c r="K12" i="1"/>
  <c r="M12" i="1" s="1"/>
  <c r="S13" i="1"/>
  <c r="AR13" i="1" s="1"/>
  <c r="R13" i="1"/>
  <c r="J51" i="67"/>
  <c r="AC34" i="33"/>
  <c r="B41" i="1"/>
  <c r="F48" i="9" s="1"/>
  <c r="O52" i="9" s="1"/>
  <c r="AB37" i="40"/>
  <c r="S35" i="40"/>
  <c r="AC36" i="40"/>
  <c r="AA32" i="40"/>
  <c r="S17" i="40"/>
  <c r="S23" i="40"/>
  <c r="AC17" i="40"/>
  <c r="AB27" i="40"/>
  <c r="AB19" i="40"/>
  <c r="F32" i="39"/>
  <c r="G106" i="39"/>
  <c r="H106" i="39" s="1"/>
  <c r="I106" i="39" s="1"/>
  <c r="J106" i="39" s="1"/>
  <c r="K106" i="39" s="1"/>
  <c r="L106" i="39" s="1"/>
  <c r="M106" i="39" s="1"/>
  <c r="U25" i="39"/>
  <c r="AB27" i="39"/>
  <c r="U31" i="39"/>
  <c r="J21" i="39"/>
  <c r="W21" i="39" s="1"/>
  <c r="F21" i="39"/>
  <c r="H21" i="39"/>
  <c r="S17" i="39"/>
  <c r="S15" i="39"/>
  <c r="AA12" i="39"/>
  <c r="S9" i="39"/>
  <c r="AC13" i="39"/>
  <c r="S33" i="36"/>
  <c r="AA22" i="36"/>
  <c r="AB14" i="36"/>
  <c r="S14" i="36"/>
  <c r="U28" i="35"/>
  <c r="AB27" i="35"/>
  <c r="U32" i="35"/>
  <c r="S32" i="35"/>
  <c r="AB16" i="35"/>
  <c r="AC20" i="35"/>
  <c r="U14" i="35"/>
  <c r="W13" i="35"/>
  <c r="S26" i="37"/>
  <c r="U29" i="37"/>
  <c r="W38" i="37"/>
  <c r="AC35" i="37"/>
  <c r="F23" i="37"/>
  <c r="S23" i="37" s="1"/>
  <c r="AC13" i="37"/>
  <c r="AA13" i="37"/>
  <c r="H10" i="37"/>
  <c r="AB10" i="37" s="1"/>
  <c r="F63" i="37"/>
  <c r="F11" i="37"/>
  <c r="S11" i="37" s="1"/>
  <c r="AB8" i="34"/>
  <c r="AA33" i="34"/>
  <c r="U43" i="34"/>
  <c r="W41" i="34"/>
  <c r="AC42" i="34"/>
  <c r="U39" i="34"/>
  <c r="S43" i="34"/>
  <c r="S17" i="34"/>
  <c r="U15" i="34"/>
  <c r="H10" i="34"/>
  <c r="AB10" i="34" s="1"/>
  <c r="F11" i="34"/>
  <c r="S11" i="34" s="1"/>
  <c r="F70" i="34"/>
  <c r="AA35" i="33"/>
  <c r="S27" i="33"/>
  <c r="W38" i="33"/>
  <c r="H41" i="33"/>
  <c r="S42" i="33"/>
  <c r="F36" i="33"/>
  <c r="AA36" i="33" s="1"/>
  <c r="G111" i="33"/>
  <c r="J35" i="33"/>
  <c r="S39" i="33"/>
  <c r="J32" i="33"/>
  <c r="W43" i="33"/>
  <c r="H27" i="33"/>
  <c r="H25" i="33"/>
  <c r="F25" i="33"/>
  <c r="J23" i="33"/>
  <c r="H23" i="33"/>
  <c r="F19" i="33"/>
  <c r="S19" i="33" s="1"/>
  <c r="J17" i="33"/>
  <c r="S15" i="33"/>
  <c r="J10" i="33"/>
  <c r="W10" i="33"/>
  <c r="H10" i="33"/>
  <c r="U10" i="33" s="1"/>
  <c r="AC11" i="33"/>
  <c r="W43" i="21"/>
  <c r="W41" i="21"/>
  <c r="AA43" i="21"/>
  <c r="AA38" i="21"/>
  <c r="AA36" i="21"/>
  <c r="AC40" i="21"/>
  <c r="J15" i="21"/>
  <c r="W15" i="21" s="1"/>
  <c r="F77" i="21"/>
  <c r="G77" i="21" s="1"/>
  <c r="F23" i="21"/>
  <c r="S23" i="21" s="1"/>
  <c r="E85" i="21"/>
  <c r="C18" i="9"/>
  <c r="D18" i="9" s="1"/>
  <c r="F34" i="67"/>
  <c r="F62" i="67" s="1"/>
  <c r="M20" i="67"/>
  <c r="F34" i="15"/>
  <c r="F62" i="15" s="1"/>
  <c r="G13" i="3"/>
  <c r="BA13" i="3"/>
  <c r="BL17" i="3"/>
  <c r="J56" i="9"/>
  <c r="J57" i="9" s="1"/>
  <c r="J59" i="9" s="1"/>
  <c r="J61" i="9" s="1"/>
  <c r="U29" i="34"/>
  <c r="E32" i="6"/>
  <c r="G1" i="68"/>
  <c r="K1" i="12"/>
  <c r="E19" i="69"/>
  <c r="E19" i="68"/>
  <c r="E19" i="11"/>
  <c r="E1" i="73"/>
  <c r="G22" i="69"/>
  <c r="G22" i="68"/>
  <c r="G26" i="12"/>
  <c r="G22" i="11"/>
  <c r="C6" i="43"/>
  <c r="B19" i="53"/>
  <c r="B37" i="72"/>
  <c r="C7" i="39"/>
  <c r="C67" i="39" s="1"/>
  <c r="D67" i="39" s="1"/>
  <c r="D69" i="39" s="1"/>
  <c r="C7" i="35"/>
  <c r="C7" i="21"/>
  <c r="C58" i="21" s="1"/>
  <c r="G23" i="43"/>
  <c r="A4" i="51"/>
  <c r="B6" i="72" s="1"/>
  <c r="C48" i="35"/>
  <c r="D48" i="35" s="1"/>
  <c r="E48" i="35" s="1"/>
  <c r="F48" i="35" s="1"/>
  <c r="H67" i="43"/>
  <c r="L20" i="6"/>
  <c r="B6" i="1"/>
  <c r="E6" i="1" s="1"/>
  <c r="K11" i="1"/>
  <c r="M11" i="1" s="1"/>
  <c r="O11" i="1"/>
  <c r="B9" i="1"/>
  <c r="E9" i="1" s="1"/>
  <c r="K7" i="1"/>
  <c r="O7" i="1"/>
  <c r="P7" i="1"/>
  <c r="G1" i="15"/>
  <c r="G1" i="69"/>
  <c r="G1" i="67"/>
  <c r="W23" i="40"/>
  <c r="U32" i="40"/>
  <c r="S37" i="40"/>
  <c r="AB28" i="40"/>
  <c r="W28" i="40"/>
  <c r="W34" i="40"/>
  <c r="W19" i="40"/>
  <c r="W27" i="40"/>
  <c r="S36" i="40"/>
  <c r="W37" i="40"/>
  <c r="AC14" i="40"/>
  <c r="AA15" i="40"/>
  <c r="U11" i="40"/>
  <c r="U15" i="40"/>
  <c r="AB17" i="40"/>
  <c r="U8" i="40"/>
  <c r="S8" i="40"/>
  <c r="AA39" i="39"/>
  <c r="AC41" i="39"/>
  <c r="U42" i="39"/>
  <c r="U41" i="39"/>
  <c r="W25" i="39"/>
  <c r="AC25" i="39"/>
  <c r="S14" i="39"/>
  <c r="AA14" i="39"/>
  <c r="U43" i="39"/>
  <c r="AB43" i="39"/>
  <c r="AB11" i="39"/>
  <c r="U11" i="39"/>
  <c r="AA27" i="39"/>
  <c r="S27" i="39"/>
  <c r="W17" i="39"/>
  <c r="AC17" i="39"/>
  <c r="W31" i="39"/>
  <c r="AC31" i="39"/>
  <c r="S23" i="39"/>
  <c r="AB39" i="39"/>
  <c r="W34" i="39"/>
  <c r="U38" i="39"/>
  <c r="S8" i="39"/>
  <c r="S20" i="36"/>
  <c r="AC25" i="36"/>
  <c r="W29" i="36"/>
  <c r="AC20" i="36"/>
  <c r="U25" i="36"/>
  <c r="AB28" i="36"/>
  <c r="AA13" i="36"/>
  <c r="W22" i="36"/>
  <c r="S9" i="36"/>
  <c r="AB20" i="35"/>
  <c r="AC25" i="35"/>
  <c r="U25" i="35"/>
  <c r="U24" i="35"/>
  <c r="S35" i="35"/>
  <c r="W35" i="35"/>
  <c r="AA16" i="35"/>
  <c r="AA35" i="37"/>
  <c r="W32" i="37"/>
  <c r="AC34" i="37"/>
  <c r="AB35" i="37"/>
  <c r="AA31" i="37"/>
  <c r="AA29" i="37"/>
  <c r="U8" i="37"/>
  <c r="AA40" i="34"/>
  <c r="AB40" i="34"/>
  <c r="U19" i="34"/>
  <c r="W19" i="34"/>
  <c r="AB33" i="34"/>
  <c r="U25" i="34"/>
  <c r="AB36" i="34"/>
  <c r="W33" i="34"/>
  <c r="AC14" i="34"/>
  <c r="AC32" i="34"/>
  <c r="S37" i="34"/>
  <c r="U38" i="34"/>
  <c r="AC40" i="34"/>
  <c r="W40" i="34"/>
  <c r="AA19" i="34"/>
  <c r="S19" i="34"/>
  <c r="AA36" i="34"/>
  <c r="S36" i="34"/>
  <c r="AA8" i="34"/>
  <c r="S8" i="34"/>
  <c r="S46" i="34"/>
  <c r="AA46" i="34"/>
  <c r="AC43" i="34"/>
  <c r="W43" i="34"/>
  <c r="W23" i="34"/>
  <c r="AC23" i="34"/>
  <c r="AC35" i="34"/>
  <c r="W35" i="34"/>
  <c r="AC37" i="33"/>
  <c r="U39" i="33"/>
  <c r="U38" i="33"/>
  <c r="S33" i="33"/>
  <c r="AB34" i="33"/>
  <c r="U44" i="33"/>
  <c r="AB44" i="33"/>
  <c r="S30" i="33"/>
  <c r="AA30" i="33"/>
  <c r="AC30" i="33"/>
  <c r="W30" i="33"/>
  <c r="W13" i="33"/>
  <c r="AC13" i="33"/>
  <c r="U15" i="33"/>
  <c r="S11" i="33"/>
  <c r="U37" i="33"/>
  <c r="W8" i="33"/>
  <c r="AB42" i="21"/>
  <c r="S45" i="21"/>
  <c r="I101" i="21"/>
  <c r="J101" i="21" s="1"/>
  <c r="K101" i="21" s="1"/>
  <c r="L101" i="21" s="1"/>
  <c r="M101" i="21" s="1"/>
  <c r="F33" i="21"/>
  <c r="AA33" i="21" s="1"/>
  <c r="J33" i="21"/>
  <c r="AC33" i="21" s="1"/>
  <c r="H33" i="21"/>
  <c r="AB33" i="21" s="1"/>
  <c r="F37" i="21"/>
  <c r="AA37" i="21" s="1"/>
  <c r="AA26" i="21"/>
  <c r="U40" i="21"/>
  <c r="AC15" i="21"/>
  <c r="S35" i="21"/>
  <c r="J37" i="21"/>
  <c r="W37" i="21" s="1"/>
  <c r="H15" i="21"/>
  <c r="U15" i="21" s="1"/>
  <c r="J17" i="21"/>
  <c r="AC17" i="21" s="1"/>
  <c r="AC19" i="21"/>
  <c r="W39" i="21"/>
  <c r="S46" i="21"/>
  <c r="H45" i="21"/>
  <c r="U45" i="21" s="1"/>
  <c r="F29" i="21"/>
  <c r="S29" i="21" s="1"/>
  <c r="F13" i="21"/>
  <c r="AC38" i="21"/>
  <c r="H32" i="21"/>
  <c r="H9" i="21"/>
  <c r="AB9" i="21" s="1"/>
  <c r="J9" i="21"/>
  <c r="J32" i="21"/>
  <c r="W32" i="21" s="1"/>
  <c r="F32" i="21"/>
  <c r="AA32" i="21" s="1"/>
  <c r="U17" i="21"/>
  <c r="S19" i="21"/>
  <c r="S9" i="21"/>
  <c r="AA9" i="21"/>
  <c r="K141" i="21"/>
  <c r="K144" i="21"/>
  <c r="K143" i="21"/>
  <c r="AB25" i="21"/>
  <c r="W42" i="21"/>
  <c r="AC45" i="21"/>
  <c r="F10" i="21"/>
  <c r="AA10" i="21" s="1"/>
  <c r="K145" i="21"/>
  <c r="W25" i="21"/>
  <c r="AA29" i="21"/>
  <c r="S17" i="21"/>
  <c r="AA15" i="21"/>
  <c r="AC26" i="21"/>
  <c r="AC34" i="21"/>
  <c r="AB36" i="21"/>
  <c r="C19" i="39"/>
  <c r="C15" i="40"/>
  <c r="C17" i="40"/>
  <c r="C23" i="40"/>
  <c r="C21" i="40"/>
  <c r="B56" i="43"/>
  <c r="B67" i="43"/>
  <c r="B51" i="43"/>
  <c r="B54" i="43"/>
  <c r="B58" i="43"/>
  <c r="B62" i="43"/>
  <c r="B65" i="43"/>
  <c r="B69" i="43"/>
  <c r="D23" i="15"/>
  <c r="D22" i="15"/>
  <c r="E4" i="4"/>
  <c r="B5" i="62" s="1"/>
  <c r="B73" i="72" s="1"/>
  <c r="C4" i="4"/>
  <c r="B4" i="62" s="1"/>
  <c r="B71" i="72" s="1"/>
  <c r="F30" i="68"/>
  <c r="F48" i="68" s="1"/>
  <c r="F30" i="11"/>
  <c r="C48" i="11" s="1"/>
  <c r="F28" i="67"/>
  <c r="F31" i="12"/>
  <c r="F52" i="9"/>
  <c r="M18" i="67"/>
  <c r="F32" i="67"/>
  <c r="F60" i="67" s="1"/>
  <c r="F30" i="69"/>
  <c r="F48" i="69" s="1"/>
  <c r="F32" i="15"/>
  <c r="F60" i="15" s="1"/>
  <c r="M18" i="15"/>
  <c r="F28" i="15"/>
  <c r="AA39" i="40"/>
  <c r="S39" i="40"/>
  <c r="D68" i="9"/>
  <c r="F54" i="9"/>
  <c r="J32" i="39"/>
  <c r="H32" i="39"/>
  <c r="AA32" i="39"/>
  <c r="S32" i="39"/>
  <c r="AB21" i="39"/>
  <c r="U21" i="39"/>
  <c r="AA21" i="39"/>
  <c r="S21" i="39"/>
  <c r="J23" i="37"/>
  <c r="AC23" i="37" s="1"/>
  <c r="J10" i="37"/>
  <c r="W10" i="37" s="1"/>
  <c r="G63" i="37"/>
  <c r="H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c r="J87" i="33" s="1"/>
  <c r="K87" i="33" s="1"/>
  <c r="L87" i="33" s="1"/>
  <c r="M87" i="33" s="1"/>
  <c r="J25" i="33"/>
  <c r="AB23" i="33"/>
  <c r="U23" i="33"/>
  <c r="F23" i="33"/>
  <c r="AA23" i="33" s="1"/>
  <c r="G85" i="33"/>
  <c r="AC23" i="33"/>
  <c r="W23" i="33"/>
  <c r="AA19" i="33"/>
  <c r="H19" i="33"/>
  <c r="G81" i="33"/>
  <c r="G79" i="33"/>
  <c r="H17" i="33"/>
  <c r="U17" i="33" s="1"/>
  <c r="F17" i="33"/>
  <c r="W17" i="33"/>
  <c r="AC17" i="33"/>
  <c r="S37" i="21"/>
  <c r="AA23" i="21"/>
  <c r="AB15" i="21"/>
  <c r="J23" i="21"/>
  <c r="W23" i="21" s="1"/>
  <c r="F85" i="21"/>
  <c r="G85" i="21" s="1"/>
  <c r="H23" i="21"/>
  <c r="U23" i="21" s="1"/>
  <c r="AP7" i="1"/>
  <c r="AB45" i="21"/>
  <c r="U9" i="21"/>
  <c r="S32" i="21"/>
  <c r="W9" i="21"/>
  <c r="AC9" i="21"/>
  <c r="AB32" i="21"/>
  <c r="U32" i="21"/>
  <c r="A18" i="62"/>
  <c r="B64" i="72" s="1"/>
  <c r="AC32" i="39"/>
  <c r="W32" i="39"/>
  <c r="W23" i="37"/>
  <c r="I63" i="37"/>
  <c r="J63" i="37" s="1"/>
  <c r="K63" i="37" s="1"/>
  <c r="L63" i="37" s="1"/>
  <c r="M63" i="37" s="1"/>
  <c r="J11" i="37"/>
  <c r="AC11" i="37" s="1"/>
  <c r="H70" i="34"/>
  <c r="I70" i="34" s="1"/>
  <c r="J70" i="34" s="1"/>
  <c r="K70" i="34" s="1"/>
  <c r="L70" i="34" s="1"/>
  <c r="M70" i="34" s="1"/>
  <c r="J11" i="34"/>
  <c r="AB36" i="33"/>
  <c r="W27" i="33"/>
  <c r="AC27" i="33"/>
  <c r="W25" i="33"/>
  <c r="AC25" i="33"/>
  <c r="AB19" i="33"/>
  <c r="U19" i="33"/>
  <c r="AA17" i="33"/>
  <c r="S17" i="33"/>
  <c r="AB17" i="33"/>
  <c r="AC23" i="21"/>
  <c r="H109" i="9"/>
  <c r="M49" i="9" s="1"/>
  <c r="H112" i="9"/>
  <c r="D21" i="53" s="1"/>
  <c r="B39" i="72" s="1"/>
  <c r="H111"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F16" i="71" s="1"/>
  <c r="Y20" i="71"/>
  <c r="Z20" i="71" s="1"/>
  <c r="X3" i="71"/>
  <c r="C21" i="71"/>
  <c r="E21" i="71"/>
  <c r="E20" i="71" s="1"/>
  <c r="E19" i="71" s="1"/>
  <c r="E18" i="71" s="1"/>
  <c r="E17" i="71" s="1"/>
  <c r="E16" i="71" s="1"/>
  <c r="BL13" i="3"/>
  <c r="C21" i="68"/>
  <c r="H69" i="43"/>
  <c r="H50" i="43"/>
  <c r="W17" i="21"/>
  <c r="AC31" i="34"/>
  <c r="W31" i="34"/>
  <c r="U13" i="34"/>
  <c r="AB13" i="34"/>
  <c r="S29" i="35"/>
  <c r="AA29" i="35"/>
  <c r="AB23" i="40"/>
  <c r="U23" i="40"/>
  <c r="S36" i="39"/>
  <c r="AA36" i="39"/>
  <c r="B94" i="43"/>
  <c r="B73" i="43"/>
  <c r="C21" i="39"/>
  <c r="B99" i="43"/>
  <c r="B76" i="43"/>
  <c r="C27" i="39"/>
  <c r="AB33" i="33"/>
  <c r="U33" i="33"/>
  <c r="H13" i="33"/>
  <c r="F13" i="33"/>
  <c r="AA13" i="33" s="1"/>
  <c r="F31" i="33"/>
  <c r="J31" i="33"/>
  <c r="AC31" i="33" s="1"/>
  <c r="H45" i="33"/>
  <c r="F45" i="33"/>
  <c r="S45" i="33" s="1"/>
  <c r="J12" i="34"/>
  <c r="F12" i="34"/>
  <c r="AA12" i="34" s="1"/>
  <c r="H12" i="34"/>
  <c r="H30" i="34"/>
  <c r="U30" i="34" s="1"/>
  <c r="F30" i="34"/>
  <c r="F32" i="34"/>
  <c r="S32" i="34" s="1"/>
  <c r="H32" i="34"/>
  <c r="J46" i="34"/>
  <c r="W46" i="34" s="1"/>
  <c r="H46" i="34"/>
  <c r="H12" i="35"/>
  <c r="AB12" i="35" s="1"/>
  <c r="J12" i="35"/>
  <c r="J11" i="35"/>
  <c r="AC11" i="35" s="1"/>
  <c r="F11" i="35"/>
  <c r="H11" i="35"/>
  <c r="H27" i="37"/>
  <c r="AB27" i="37" s="1"/>
  <c r="F27" i="37"/>
  <c r="J27" i="37"/>
  <c r="W27" i="37" s="1"/>
  <c r="H40" i="37"/>
  <c r="F40" i="37"/>
  <c r="S40" i="37" s="1"/>
  <c r="AB9" i="39"/>
  <c r="U9" i="39"/>
  <c r="BL541" i="3"/>
  <c r="BL540" i="3"/>
  <c r="BA539" i="3"/>
  <c r="BL538" i="3"/>
  <c r="BL537" i="3"/>
  <c r="BA535" i="3"/>
  <c r="BL533" i="3"/>
  <c r="AZ533" i="3" s="1"/>
  <c r="BA531" i="3"/>
  <c r="BL530" i="3"/>
  <c r="BL529" i="3"/>
  <c r="BA528" i="3"/>
  <c r="BA527" i="3"/>
  <c r="BL525" i="3"/>
  <c r="BL521" i="3"/>
  <c r="G521" i="3"/>
  <c r="BL517" i="3"/>
  <c r="BL513" i="3"/>
  <c r="BL509" i="3"/>
  <c r="BL505" i="3"/>
  <c r="BL501" i="3"/>
  <c r="BL499" i="3"/>
  <c r="BL497" i="3"/>
  <c r="BL495" i="3"/>
  <c r="AC40" i="37"/>
  <c r="W40" i="37"/>
  <c r="W45" i="33"/>
  <c r="AC45" i="33"/>
  <c r="AC44" i="21"/>
  <c r="W44" i="21"/>
  <c r="AB11" i="33"/>
  <c r="U11" i="33"/>
  <c r="U17" i="34"/>
  <c r="AB17" i="34"/>
  <c r="AA28" i="34"/>
  <c r="S28" i="34"/>
  <c r="AB33" i="35"/>
  <c r="U33" i="35"/>
  <c r="AA34" i="21"/>
  <c r="S34" i="21"/>
  <c r="J29" i="21"/>
  <c r="H29" i="21"/>
  <c r="U29" i="21" s="1"/>
  <c r="J9" i="34"/>
  <c r="F9" i="34"/>
  <c r="AA9" i="34" s="1"/>
  <c r="H9" i="34"/>
  <c r="U9" i="34" s="1"/>
  <c r="J28" i="34"/>
  <c r="H28" i="34"/>
  <c r="AB28" i="34" s="1"/>
  <c r="AC28" i="35"/>
  <c r="W28" i="35"/>
  <c r="J34" i="35"/>
  <c r="H34" i="35"/>
  <c r="U34" i="35" s="1"/>
  <c r="F34" i="35"/>
  <c r="AC28" i="36"/>
  <c r="W28" i="36"/>
  <c r="W16" i="36"/>
  <c r="AC16" i="36"/>
  <c r="F32" i="36"/>
  <c r="AA32" i="36" s="1"/>
  <c r="H32" i="36"/>
  <c r="J32" i="36"/>
  <c r="W32" i="36" s="1"/>
  <c r="AB26" i="37"/>
  <c r="U26" i="37"/>
  <c r="J9" i="37"/>
  <c r="W9" i="37" s="1"/>
  <c r="F9" i="37"/>
  <c r="S9" i="37" s="1"/>
  <c r="J43" i="39"/>
  <c r="F43" i="39"/>
  <c r="AA43" i="39" s="1"/>
  <c r="H45" i="39"/>
  <c r="F45" i="39"/>
  <c r="S45" i="39" s="1"/>
  <c r="AC8" i="40"/>
  <c r="W8" i="40"/>
  <c r="AB9" i="40"/>
  <c r="U9" i="40"/>
  <c r="AB34" i="40"/>
  <c r="U34" i="40"/>
  <c r="AB40" i="40"/>
  <c r="U40" i="40"/>
  <c r="H13" i="40"/>
  <c r="J13" i="40"/>
  <c r="W13" i="40" s="1"/>
  <c r="F13" i="40"/>
  <c r="W38" i="34"/>
  <c r="AC38" i="34"/>
  <c r="BL581" i="3"/>
  <c r="BA581" i="3"/>
  <c r="BA580" i="3"/>
  <c r="BL579" i="3"/>
  <c r="BA579" i="3"/>
  <c r="AZ579" i="3" s="1"/>
  <c r="BL578" i="3"/>
  <c r="BA578" i="3"/>
  <c r="BL576" i="3"/>
  <c r="BA576" i="3"/>
  <c r="BL575" i="3"/>
  <c r="BA575" i="3"/>
  <c r="BA574" i="3"/>
  <c r="BA564" i="3"/>
  <c r="AZ564" i="3" s="1"/>
  <c r="BL563" i="3"/>
  <c r="BA563" i="3"/>
  <c r="AZ563" i="3"/>
  <c r="BL562" i="3"/>
  <c r="BA562" i="3"/>
  <c r="AZ562" i="3" s="1"/>
  <c r="BL561" i="3"/>
  <c r="BL560" i="3"/>
  <c r="AZ560" i="3" s="1"/>
  <c r="BA560" i="3"/>
  <c r="BA559" i="3"/>
  <c r="AZ559" i="3" s="1"/>
  <c r="BL551" i="3"/>
  <c r="AZ405" i="3"/>
  <c r="AZ415" i="3"/>
  <c r="AZ420" i="3"/>
  <c r="U23" i="34"/>
  <c r="AB23" i="34"/>
  <c r="W11" i="40"/>
  <c r="AC11" i="40"/>
  <c r="BL587" i="3"/>
  <c r="F12" i="21"/>
  <c r="J12" i="21"/>
  <c r="AC12" i="21" s="1"/>
  <c r="B72" i="43"/>
  <c r="C15" i="39"/>
  <c r="B101" i="43"/>
  <c r="B79" i="43"/>
  <c r="B97" i="43"/>
  <c r="B75" i="43"/>
  <c r="AB40" i="33"/>
  <c r="U40" i="33"/>
  <c r="H28" i="33"/>
  <c r="F28" i="33"/>
  <c r="AA28" i="33" s="1"/>
  <c r="J28" i="33"/>
  <c r="H36" i="35"/>
  <c r="AB36" i="35" s="1"/>
  <c r="J36" i="35"/>
  <c r="J23" i="36"/>
  <c r="AC23" i="36" s="1"/>
  <c r="H23" i="36"/>
  <c r="F23" i="36"/>
  <c r="AA23" i="36" s="1"/>
  <c r="H33" i="36"/>
  <c r="J33" i="36"/>
  <c r="AC33" i="36" s="1"/>
  <c r="H14" i="37"/>
  <c r="U14" i="37" s="1"/>
  <c r="F14" i="37"/>
  <c r="F13" i="39"/>
  <c r="S13" i="39" s="1"/>
  <c r="H13" i="39"/>
  <c r="AA34" i="39"/>
  <c r="S34" i="39"/>
  <c r="W9" i="40"/>
  <c r="AC9" i="40"/>
  <c r="AA34" i="40"/>
  <c r="S34" i="40"/>
  <c r="AA40" i="40"/>
  <c r="S40" i="40"/>
  <c r="W40" i="40"/>
  <c r="AC40" i="40"/>
  <c r="J33" i="40"/>
  <c r="W33" i="40" s="1"/>
  <c r="F33" i="40"/>
  <c r="H33" i="40"/>
  <c r="U33" i="40" s="1"/>
  <c r="AA31" i="35"/>
  <c r="S31" i="35"/>
  <c r="W31" i="35"/>
  <c r="AC31" i="35"/>
  <c r="G551" i="3"/>
  <c r="BL548" i="3"/>
  <c r="AZ480" i="3"/>
  <c r="AZ482" i="3"/>
  <c r="AZ274" i="3"/>
  <c r="AZ301" i="3"/>
  <c r="AZ22" i="3"/>
  <c r="AZ68" i="3"/>
  <c r="AZ108" i="3"/>
  <c r="AZ78" i="3"/>
  <c r="U18" i="36"/>
  <c r="C39" i="71"/>
  <c r="Y29" i="71"/>
  <c r="Z29" i="71" s="1"/>
  <c r="AA33" i="71"/>
  <c r="X25" i="71"/>
  <c r="X27" i="71"/>
  <c r="E30" i="71"/>
  <c r="E31" i="71" s="1"/>
  <c r="E32" i="71" s="1"/>
  <c r="U32" i="71" s="1"/>
  <c r="AA29" i="71"/>
  <c r="X30" i="71"/>
  <c r="AB30" i="71"/>
  <c r="AA34" i="71"/>
  <c r="Y35" i="71"/>
  <c r="Z35" i="71" s="1"/>
  <c r="Y33" i="71"/>
  <c r="Z33" i="71" s="1"/>
  <c r="B38" i="71"/>
  <c r="B39" i="71" s="1"/>
  <c r="B40" i="71" s="1"/>
  <c r="S40" i="71" s="1"/>
  <c r="X37" i="71"/>
  <c r="AB38" i="71"/>
  <c r="AB37" i="71"/>
  <c r="AB10" i="71"/>
  <c r="AB9" i="71"/>
  <c r="AB39" i="71"/>
  <c r="X31" i="71"/>
  <c r="X32" i="71"/>
  <c r="AB34" i="71"/>
  <c r="AB33" i="71"/>
  <c r="AA35" i="71"/>
  <c r="AA36" i="71"/>
  <c r="X9" i="71"/>
  <c r="X10" i="71"/>
  <c r="X39" i="71"/>
  <c r="V68" i="71"/>
  <c r="F67" i="71"/>
  <c r="X24" i="71"/>
  <c r="AA22" i="71"/>
  <c r="AA18" i="71"/>
  <c r="Y18" i="71"/>
  <c r="Z18" i="71" s="1"/>
  <c r="AB18" i="71"/>
  <c r="X14" i="71"/>
  <c r="AA12" i="71"/>
  <c r="X17" i="71"/>
  <c r="AA17" i="71"/>
  <c r="X21" i="71"/>
  <c r="X22" i="71"/>
  <c r="Y9" i="71"/>
  <c r="Z9" i="71" s="1"/>
  <c r="Y10" i="71"/>
  <c r="Z10" i="71" s="1"/>
  <c r="AA9" i="71"/>
  <c r="AA10" i="71"/>
  <c r="AB24" i="71"/>
  <c r="Y21" i="71"/>
  <c r="Z21" i="71" s="1"/>
  <c r="AB21" i="71"/>
  <c r="X18" i="71"/>
  <c r="Y12" i="71"/>
  <c r="Z12" i="71" s="1"/>
  <c r="Y14" i="71"/>
  <c r="Z14" i="71" s="1"/>
  <c r="AB13" i="71"/>
  <c r="Y24" i="71"/>
  <c r="Z24" i="71" s="1"/>
  <c r="AA21" i="71"/>
  <c r="AB15" i="71"/>
  <c r="Y17" i="71"/>
  <c r="Z17" i="71" s="1"/>
  <c r="AB17" i="71"/>
  <c r="X12" i="71"/>
  <c r="AB11" i="71"/>
  <c r="AB14" i="71"/>
  <c r="Y13" i="71"/>
  <c r="Z13" i="71" s="1"/>
  <c r="Y23" i="71"/>
  <c r="Z23" i="71" s="1"/>
  <c r="Y22" i="71"/>
  <c r="Z22" i="71" s="1"/>
  <c r="AA23" i="71"/>
  <c r="AB23" i="71"/>
  <c r="X15" i="71"/>
  <c r="AA15" i="71"/>
  <c r="AA11" i="71"/>
  <c r="AA13" i="71"/>
  <c r="AA14" i="71"/>
  <c r="X11" i="71"/>
  <c r="X13" i="71"/>
  <c r="AB12" i="71"/>
  <c r="Y11" i="71"/>
  <c r="Z11" i="71" s="1"/>
  <c r="H83" i="43"/>
  <c r="S22" i="31"/>
  <c r="R22" i="31" s="1"/>
  <c r="D74" i="43"/>
  <c r="E50" i="43"/>
  <c r="B48" i="43" s="1"/>
  <c r="H78" i="43"/>
  <c r="W31" i="36"/>
  <c r="AC34" i="36"/>
  <c r="AA31" i="36"/>
  <c r="S28" i="36"/>
  <c r="S30" i="36"/>
  <c r="S29" i="36"/>
  <c r="W8" i="36"/>
  <c r="AB8" i="36"/>
  <c r="W11" i="36"/>
  <c r="S8" i="36"/>
  <c r="AB11" i="36"/>
  <c r="AB10" i="35"/>
  <c r="U30" i="35"/>
  <c r="AA30" i="35"/>
  <c r="W32" i="35"/>
  <c r="W33" i="35"/>
  <c r="S8" i="35"/>
  <c r="AB37" i="21"/>
  <c r="AC37" i="21"/>
  <c r="S33" i="21"/>
  <c r="AC36" i="33"/>
  <c r="S33" i="37"/>
  <c r="AC9" i="37"/>
  <c r="AA8" i="37"/>
  <c r="AB9" i="37"/>
  <c r="U11" i="37"/>
  <c r="AC8" i="37"/>
  <c r="AB37" i="34"/>
  <c r="S9" i="34"/>
  <c r="U33" i="21"/>
  <c r="S8" i="33"/>
  <c r="U8" i="33"/>
  <c r="W8" i="21"/>
  <c r="S8" i="21"/>
  <c r="AA11" i="21"/>
  <c r="AC11" i="21"/>
  <c r="AB11" i="21"/>
  <c r="F53" i="9"/>
  <c r="C5" i="11"/>
  <c r="C4" i="12"/>
  <c r="I4" i="6"/>
  <c r="G3" i="43"/>
  <c r="L19" i="6"/>
  <c r="L27" i="6" s="1"/>
  <c r="M6" i="1"/>
  <c r="O6" i="1"/>
  <c r="T13" i="1"/>
  <c r="C59" i="34"/>
  <c r="D59" i="34" s="1"/>
  <c r="E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S26" i="35" s="1"/>
  <c r="J26" i="35"/>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C28" i="43" s="1"/>
  <c r="D66" i="43"/>
  <c r="D64" i="43"/>
  <c r="D62" i="43"/>
  <c r="D67" i="43"/>
  <c r="D65" i="43"/>
  <c r="D63" i="43"/>
  <c r="D69" i="43"/>
  <c r="D73" i="43"/>
  <c r="D75" i="43"/>
  <c r="D79" i="43"/>
  <c r="D22" i="67"/>
  <c r="AQ13" i="1"/>
  <c r="P6" i="1"/>
  <c r="P11" i="1"/>
  <c r="AZ13" i="3"/>
  <c r="O9" i="1"/>
  <c r="P9" i="1"/>
  <c r="O12" i="1"/>
  <c r="P12" i="1"/>
  <c r="O8" i="1"/>
  <c r="P8" i="1"/>
  <c r="H73" i="43"/>
  <c r="H90" i="43"/>
  <c r="I18" i="43"/>
  <c r="E17" i="43" s="1"/>
  <c r="C17" i="43"/>
  <c r="H55" i="43"/>
  <c r="H86" i="43"/>
  <c r="H87" i="43"/>
  <c r="H89" i="43"/>
  <c r="H88" i="43"/>
  <c r="H84" i="43"/>
  <c r="C69" i="39"/>
  <c r="T35" i="4"/>
  <c r="A19" i="51" s="1"/>
  <c r="B14" i="72" s="1"/>
  <c r="H110" i="9"/>
  <c r="D18" i="53" s="1"/>
  <c r="B35" i="72" s="1"/>
  <c r="H52" i="43"/>
  <c r="Y8" i="71"/>
  <c r="Z8" i="71" s="1"/>
  <c r="X8" i="71"/>
  <c r="AB8" i="71"/>
  <c r="AA8" i="71"/>
  <c r="B8" i="74"/>
  <c r="C8" i="74" s="1"/>
  <c r="H76" i="43"/>
  <c r="H72" i="43"/>
  <c r="H63" i="43"/>
  <c r="H61" i="43"/>
  <c r="H53" i="43"/>
  <c r="H79" i="43"/>
  <c r="D124" i="9"/>
  <c r="H74" i="43"/>
  <c r="H57" i="43"/>
  <c r="H66" i="43"/>
  <c r="H68" i="43"/>
  <c r="H80" i="43"/>
  <c r="H77" i="43"/>
  <c r="E44" i="43"/>
  <c r="AC21" i="39"/>
  <c r="AB23" i="39"/>
  <c r="AB15" i="39"/>
  <c r="AC15" i="39"/>
  <c r="S25" i="39"/>
  <c r="W39" i="39"/>
  <c r="W42" i="39"/>
  <c r="W14" i="39"/>
  <c r="S29" i="39"/>
  <c r="G21" i="43"/>
  <c r="C20" i="43"/>
  <c r="E11" i="43"/>
  <c r="E9" i="43"/>
  <c r="E10" i="43"/>
  <c r="E8" i="43"/>
  <c r="D23" i="67"/>
  <c r="G25" i="12"/>
  <c r="G41" i="11"/>
  <c r="G27" i="12"/>
  <c r="G41" i="68"/>
  <c r="D58" i="21"/>
  <c r="E58" i="21" s="1"/>
  <c r="D9" i="53"/>
  <c r="B25" i="72" s="1"/>
  <c r="B24" i="72"/>
  <c r="Y16" i="71"/>
  <c r="Z16" i="71" s="1"/>
  <c r="Y15" i="71"/>
  <c r="Z15" i="71" s="1"/>
  <c r="AA16" i="71"/>
  <c r="AB3" i="71"/>
  <c r="B16" i="71"/>
  <c r="X16" i="71"/>
  <c r="AB16" i="71"/>
  <c r="Y3" i="71"/>
  <c r="Z3" i="71" s="1"/>
  <c r="AF3" i="71"/>
  <c r="P28" i="43" s="1"/>
  <c r="B66" i="40" s="1"/>
  <c r="N370" i="46"/>
  <c r="N94" i="46"/>
  <c r="J26" i="43"/>
  <c r="F66" i="71"/>
  <c r="Q65" i="71" s="1"/>
  <c r="Q67" i="71"/>
  <c r="AA33" i="40"/>
  <c r="S33" i="40"/>
  <c r="AB13" i="39"/>
  <c r="U13" i="39"/>
  <c r="S14" i="37"/>
  <c r="AA14" i="37"/>
  <c r="S23" i="36"/>
  <c r="W23" i="36"/>
  <c r="U36" i="35"/>
  <c r="S28" i="33"/>
  <c r="W12" i="21"/>
  <c r="AZ581" i="3"/>
  <c r="AA13" i="40"/>
  <c r="S13" i="40"/>
  <c r="U13" i="40"/>
  <c r="AB13" i="40"/>
  <c r="U45" i="39"/>
  <c r="AB45" i="39"/>
  <c r="AC43" i="39"/>
  <c r="W43" i="39"/>
  <c r="AB32" i="36"/>
  <c r="U32" i="36"/>
  <c r="S34" i="35"/>
  <c r="AA34" i="35"/>
  <c r="AC34" i="35"/>
  <c r="W34" i="35"/>
  <c r="W28" i="34"/>
  <c r="AC28" i="34"/>
  <c r="AB29" i="21"/>
  <c r="U40" i="37"/>
  <c r="AB40" i="37"/>
  <c r="AA27" i="37"/>
  <c r="S27" i="37"/>
  <c r="W11" i="35"/>
  <c r="U12" i="35"/>
  <c r="AC46" i="34"/>
  <c r="AA32" i="34"/>
  <c r="AB30" i="34"/>
  <c r="S12" i="34"/>
  <c r="AA45" i="33"/>
  <c r="W31" i="33"/>
  <c r="S13" i="33"/>
  <c r="B15" i="71"/>
  <c r="B14" i="71" s="1"/>
  <c r="B13" i="71" s="1"/>
  <c r="B12" i="71" s="1"/>
  <c r="S16" i="71"/>
  <c r="D39" i="71"/>
  <c r="C40" i="71"/>
  <c r="D40" i="71" s="1"/>
  <c r="AB33" i="40"/>
  <c r="AC33" i="40"/>
  <c r="AA13" i="39"/>
  <c r="AB14" i="37"/>
  <c r="U33" i="36"/>
  <c r="AB33" i="36"/>
  <c r="AB23" i="36"/>
  <c r="U23" i="36"/>
  <c r="W36" i="35"/>
  <c r="AC36" i="35"/>
  <c r="W28" i="33"/>
  <c r="AC28" i="33"/>
  <c r="U28" i="33"/>
  <c r="AB28" i="33"/>
  <c r="S12" i="21"/>
  <c r="AA12" i="21"/>
  <c r="AC13" i="40"/>
  <c r="AA45" i="39"/>
  <c r="S43" i="39"/>
  <c r="S32" i="36"/>
  <c r="AB34" i="35"/>
  <c r="U28" i="34"/>
  <c r="AB9" i="34"/>
  <c r="AC9" i="34"/>
  <c r="W9" i="34"/>
  <c r="AC29" i="21"/>
  <c r="W29" i="21"/>
  <c r="AA40" i="37"/>
  <c r="AC27" i="37"/>
  <c r="U27" i="37"/>
  <c r="S11" i="35"/>
  <c r="AA11" i="35"/>
  <c r="W12" i="35"/>
  <c r="AC12" i="35"/>
  <c r="U46" i="34"/>
  <c r="AB46" i="34"/>
  <c r="AB32" i="34"/>
  <c r="U32" i="34"/>
  <c r="S30" i="34"/>
  <c r="AA30" i="34"/>
  <c r="AB12" i="34"/>
  <c r="U12" i="34"/>
  <c r="W12" i="34"/>
  <c r="AC12" i="34"/>
  <c r="U45" i="33"/>
  <c r="AB45" i="33"/>
  <c r="S31" i="33"/>
  <c r="AA31" i="33"/>
  <c r="Z7" i="43"/>
  <c r="AA26" i="35"/>
  <c r="AC26" i="35"/>
  <c r="W26" i="35"/>
  <c r="AB26" i="35"/>
  <c r="U26" i="35"/>
  <c r="E72" i="43"/>
  <c r="B70" i="43" s="1"/>
  <c r="D5" i="43"/>
  <c r="C7" i="43"/>
  <c r="C5" i="43"/>
  <c r="D10" i="52"/>
  <c r="D125" i="9"/>
  <c r="D11" i="52" s="1"/>
  <c r="B7" i="74"/>
  <c r="C7" i="74" s="1"/>
  <c r="F59" i="67"/>
  <c r="M17" i="67"/>
  <c r="M17" i="15"/>
  <c r="F59" i="15"/>
  <c r="P27" i="43"/>
  <c r="B70" i="39" s="1"/>
  <c r="AE11" i="1"/>
  <c r="AE9" i="1"/>
  <c r="AE7" i="1"/>
  <c r="AE8" i="1"/>
  <c r="AE12" i="1"/>
  <c r="AE10" i="1"/>
  <c r="T40" i="71"/>
  <c r="Q66" i="71"/>
  <c r="AG11" i="1"/>
  <c r="AG9" i="1"/>
  <c r="AG10" i="1"/>
  <c r="AG8" i="1"/>
  <c r="AG12" i="1"/>
  <c r="AG7" i="1"/>
  <c r="AG6" i="1"/>
  <c r="S8" i="1"/>
  <c r="E8" i="70"/>
  <c r="O14" i="1"/>
  <c r="B1" i="74"/>
  <c r="D3" i="37"/>
  <c r="F58" i="21"/>
  <c r="G48" i="35"/>
  <c r="S11" i="1"/>
  <c r="AR11" i="1" s="1"/>
  <c r="E11" i="70"/>
  <c r="S9" i="1"/>
  <c r="AQ9" i="1" s="1"/>
  <c r="AQ8" i="1"/>
  <c r="T8" i="1"/>
  <c r="AR8" i="1"/>
  <c r="S7" i="1"/>
  <c r="AR7" i="1" s="1"/>
  <c r="E7" i="70"/>
  <c r="S10" i="1"/>
  <c r="T10" i="1" s="1"/>
  <c r="E10" i="70"/>
  <c r="S12" i="1"/>
  <c r="AR12" i="1" s="1"/>
  <c r="B2" i="74"/>
  <c r="P14" i="1"/>
  <c r="H48" i="35"/>
  <c r="G58" i="21"/>
  <c r="H58" i="21" s="1"/>
  <c r="I58" i="21" s="1"/>
  <c r="J58" i="21" s="1"/>
  <c r="R7" i="1"/>
  <c r="E12" i="70"/>
  <c r="F34" i="11"/>
  <c r="F11" i="12"/>
  <c r="E9" i="70"/>
  <c r="AR9" i="1"/>
  <c r="T9" i="1"/>
  <c r="T11" i="1"/>
  <c r="AQ10" i="1"/>
  <c r="R11" i="1"/>
  <c r="R9" i="1"/>
  <c r="R10" i="1"/>
  <c r="D8" i="74"/>
  <c r="D7" i="74"/>
  <c r="R8" i="1"/>
  <c r="C8" i="69"/>
  <c r="R12" i="1"/>
  <c r="I48" i="35"/>
  <c r="J48" i="35"/>
  <c r="K48" i="35" s="1"/>
  <c r="L48" i="35" s="1"/>
  <c r="M48" i="35" s="1"/>
  <c r="B2" i="21"/>
  <c r="B2" i="33"/>
  <c r="B2" i="36"/>
  <c r="B3" i="36" s="1"/>
  <c r="B2" i="35"/>
  <c r="B3" i="35" s="1"/>
  <c r="B2" i="34"/>
  <c r="B6" i="74"/>
  <c r="D6" i="74" s="1"/>
  <c r="F34" i="68"/>
  <c r="M8" i="15"/>
  <c r="J15" i="15"/>
  <c r="F27" i="69"/>
  <c r="F8" i="67"/>
  <c r="F5" i="73"/>
  <c r="AO8" i="1"/>
  <c r="D3" i="73"/>
  <c r="M6" i="67"/>
  <c r="M9" i="67"/>
  <c r="F9" i="67"/>
  <c r="F6" i="73"/>
  <c r="M26" i="67"/>
  <c r="L47" i="67"/>
  <c r="F27" i="68"/>
  <c r="F20" i="31"/>
  <c r="E7" i="76"/>
  <c r="F16" i="15"/>
  <c r="AO11" i="1"/>
  <c r="B10" i="76"/>
  <c r="B9" i="76"/>
  <c r="AO7" i="1"/>
  <c r="M27" i="15"/>
  <c r="M8" i="67"/>
  <c r="E13" i="76"/>
  <c r="B11" i="76"/>
  <c r="M27" i="67"/>
  <c r="AO10" i="1"/>
  <c r="F13" i="15"/>
  <c r="E8" i="76"/>
  <c r="M23" i="67"/>
  <c r="C36" i="69"/>
  <c r="F42" i="67"/>
  <c r="L47" i="15"/>
  <c r="M6" i="15"/>
  <c r="D7" i="73"/>
  <c r="F7" i="67"/>
  <c r="C36" i="68"/>
  <c r="F43" i="15"/>
  <c r="E2" i="69"/>
  <c r="M26" i="15"/>
  <c r="E9" i="76"/>
  <c r="F16" i="67"/>
  <c r="M29" i="15"/>
  <c r="D9" i="68"/>
  <c r="F36" i="67"/>
  <c r="F37" i="67"/>
  <c r="F7" i="15"/>
  <c r="F40" i="67"/>
  <c r="F36" i="15"/>
  <c r="L48" i="67"/>
  <c r="F7" i="73"/>
  <c r="D4" i="73"/>
  <c r="AO13" i="1"/>
  <c r="M24" i="67"/>
  <c r="F4" i="73"/>
  <c r="B7" i="76"/>
  <c r="F43" i="67"/>
  <c r="L48" i="15"/>
  <c r="D34" i="9"/>
  <c r="M28" i="15"/>
  <c r="E11" i="76"/>
  <c r="M28" i="67"/>
  <c r="D2" i="21"/>
  <c r="F38" i="15"/>
  <c r="F13" i="67"/>
  <c r="D6" i="73"/>
  <c r="M22" i="15"/>
  <c r="D2" i="35"/>
  <c r="M24" i="15"/>
  <c r="E12" i="76"/>
  <c r="F8" i="15"/>
  <c r="B13" i="76"/>
  <c r="F37" i="15"/>
  <c r="M23" i="15"/>
  <c r="D5" i="73"/>
  <c r="C76" i="15"/>
  <c r="D2" i="34"/>
  <c r="B12" i="76"/>
  <c r="E2" i="68"/>
  <c r="J15" i="67"/>
  <c r="D2" i="36"/>
  <c r="E10" i="76"/>
  <c r="D2" i="33"/>
  <c r="F26" i="67"/>
  <c r="F42" i="15"/>
  <c r="C76" i="67"/>
  <c r="F9" i="15"/>
  <c r="F40" i="15"/>
  <c r="M9" i="15"/>
  <c r="M22" i="67"/>
  <c r="F38" i="67"/>
  <c r="F26" i="15"/>
  <c r="D35" i="9"/>
  <c r="F3" i="73"/>
  <c r="D9" i="69"/>
  <c r="M29" i="67"/>
  <c r="AO9" i="1"/>
  <c r="AO12" i="1"/>
  <c r="B8" i="76"/>
  <c r="D2" i="37"/>
  <c r="D9" i="11" l="1"/>
  <c r="C9" i="11" s="1"/>
  <c r="D19" i="12"/>
  <c r="C19" i="12" s="1"/>
  <c r="AC46" i="33"/>
  <c r="W46" i="33"/>
  <c r="AQ7" i="1"/>
  <c r="T12" i="1"/>
  <c r="AQ11" i="1"/>
  <c r="AA9" i="37"/>
  <c r="AZ576" i="3"/>
  <c r="AZ578" i="3"/>
  <c r="AZ539" i="3"/>
  <c r="D16" i="53"/>
  <c r="AA20" i="35"/>
  <c r="S20" i="35"/>
  <c r="AA11" i="39"/>
  <c r="S11" i="39"/>
  <c r="AC5" i="3"/>
  <c r="W13" i="34"/>
  <c r="AC13" i="34"/>
  <c r="AA46" i="33"/>
  <c r="S46" i="33"/>
  <c r="S44" i="33"/>
  <c r="AA44" i="33"/>
  <c r="W30" i="34"/>
  <c r="AC30" i="34"/>
  <c r="W44" i="34"/>
  <c r="AC44" i="34"/>
  <c r="AA23" i="34"/>
  <c r="S23" i="34"/>
  <c r="W36" i="34"/>
  <c r="AC36" i="34"/>
  <c r="AB29" i="35"/>
  <c r="U29" i="35"/>
  <c r="AC15" i="33"/>
  <c r="W15" i="33"/>
  <c r="AC15" i="34"/>
  <c r="W15" i="34"/>
  <c r="S25" i="34"/>
  <c r="AA25" i="34"/>
  <c r="W29" i="35"/>
  <c r="AC29" i="35"/>
  <c r="AA22" i="35"/>
  <c r="S22" i="35"/>
  <c r="AC27" i="39"/>
  <c r="W27" i="39"/>
  <c r="U38" i="21"/>
  <c r="AB38" i="21"/>
  <c r="BS5" i="3"/>
  <c r="BF5" i="3"/>
  <c r="J14" i="21"/>
  <c r="F14" i="21"/>
  <c r="S14" i="21" s="1"/>
  <c r="F28" i="21"/>
  <c r="J28" i="21"/>
  <c r="AC42" i="33"/>
  <c r="W42" i="33"/>
  <c r="J26" i="33"/>
  <c r="H26" i="33"/>
  <c r="J27" i="34"/>
  <c r="F27" i="34"/>
  <c r="H27" i="34"/>
  <c r="AB27" i="34" s="1"/>
  <c r="S12" i="35"/>
  <c r="AA12" i="35"/>
  <c r="J9" i="35"/>
  <c r="F9" i="35"/>
  <c r="H9" i="35"/>
  <c r="J12" i="33"/>
  <c r="H12" i="33"/>
  <c r="F12" i="33"/>
  <c r="H14" i="33"/>
  <c r="J14" i="33"/>
  <c r="AC9" i="39"/>
  <c r="W9" i="39"/>
  <c r="AC38" i="40"/>
  <c r="W38" i="40"/>
  <c r="U41" i="21"/>
  <c r="AB41" i="21"/>
  <c r="W41" i="33"/>
  <c r="AC41" i="33"/>
  <c r="AC30" i="36"/>
  <c r="W30" i="36"/>
  <c r="AA35" i="39"/>
  <c r="S35" i="39"/>
  <c r="BL584" i="3"/>
  <c r="BA557" i="3"/>
  <c r="BA554" i="3"/>
  <c r="BL549" i="3"/>
  <c r="BA549" i="3"/>
  <c r="AZ549" i="3" s="1"/>
  <c r="BA548" i="3"/>
  <c r="BL546" i="3"/>
  <c r="BL545" i="3"/>
  <c r="BA545" i="3"/>
  <c r="BL543" i="3"/>
  <c r="H5" i="3"/>
  <c r="BA541" i="3"/>
  <c r="AZ541" i="3" s="1"/>
  <c r="BA540" i="3"/>
  <c r="AZ540" i="3" s="1"/>
  <c r="BL536" i="3"/>
  <c r="BA536" i="3"/>
  <c r="AZ536" i="3" s="1"/>
  <c r="BL493" i="3"/>
  <c r="AZ493" i="3" s="1"/>
  <c r="BG5" i="3"/>
  <c r="H30" i="40"/>
  <c r="J30" i="40"/>
  <c r="D120" i="9"/>
  <c r="S39" i="21"/>
  <c r="AB39" i="21"/>
  <c r="W36" i="21"/>
  <c r="S37" i="33"/>
  <c r="S32" i="33"/>
  <c r="AB35" i="34"/>
  <c r="U22" i="35"/>
  <c r="S28" i="35"/>
  <c r="AC30" i="35"/>
  <c r="AA27" i="40"/>
  <c r="W39" i="34"/>
  <c r="AC39" i="34"/>
  <c r="S34" i="33"/>
  <c r="AA34" i="33"/>
  <c r="AB35" i="40"/>
  <c r="U35" i="40"/>
  <c r="AZ334" i="3"/>
  <c r="AB37" i="39"/>
  <c r="U37" i="39"/>
  <c r="S19" i="40"/>
  <c r="AA19" i="40"/>
  <c r="AB21" i="40"/>
  <c r="U21" i="40"/>
  <c r="S26" i="36"/>
  <c r="AA26" i="36"/>
  <c r="BL535" i="3"/>
  <c r="AZ535" i="3" s="1"/>
  <c r="BL553" i="3"/>
  <c r="AZ498" i="3"/>
  <c r="W36" i="39"/>
  <c r="F13" i="34"/>
  <c r="H46" i="33"/>
  <c r="J44" i="33"/>
  <c r="H30" i="33"/>
  <c r="AB13" i="36"/>
  <c r="U13" i="36"/>
  <c r="AC14" i="36"/>
  <c r="W14" i="36"/>
  <c r="S33" i="35"/>
  <c r="AA33" i="35"/>
  <c r="H28" i="21"/>
  <c r="W17" i="34"/>
  <c r="AC17" i="34"/>
  <c r="AC25" i="34"/>
  <c r="W25" i="34"/>
  <c r="AB42" i="34"/>
  <c r="AA34" i="37"/>
  <c r="AC19" i="33"/>
  <c r="W19" i="33"/>
  <c r="S40" i="39"/>
  <c r="W21" i="40"/>
  <c r="AC21" i="40"/>
  <c r="AB19" i="39"/>
  <c r="U19" i="39"/>
  <c r="F26" i="33"/>
  <c r="AA16" i="36"/>
  <c r="S16" i="36"/>
  <c r="J35" i="39"/>
  <c r="S41" i="21"/>
  <c r="AB34" i="34"/>
  <c r="U34" i="34"/>
  <c r="F14" i="34"/>
  <c r="H14" i="34"/>
  <c r="J24" i="35"/>
  <c r="F24" i="35"/>
  <c r="W12" i="36"/>
  <c r="AC12" i="36"/>
  <c r="AB31" i="36"/>
  <c r="U31" i="36"/>
  <c r="H12" i="37"/>
  <c r="F12" i="37"/>
  <c r="H23" i="37"/>
  <c r="AB23" i="37" s="1"/>
  <c r="F79" i="37"/>
  <c r="G79" i="37" s="1"/>
  <c r="AC40" i="39"/>
  <c r="W40" i="39"/>
  <c r="H35" i="39"/>
  <c r="F38" i="40"/>
  <c r="H38" i="40"/>
  <c r="BL577" i="3"/>
  <c r="BL574" i="3"/>
  <c r="BA573" i="3"/>
  <c r="BL572" i="3"/>
  <c r="BA570" i="3"/>
  <c r="BA569" i="3"/>
  <c r="BL566" i="3"/>
  <c r="BA566" i="3"/>
  <c r="BA565" i="3"/>
  <c r="BL534" i="3"/>
  <c r="BA532" i="3"/>
  <c r="BL528" i="3"/>
  <c r="BA525" i="3"/>
  <c r="AZ525" i="3" s="1"/>
  <c r="BL523" i="3"/>
  <c r="BA521" i="3"/>
  <c r="AZ521" i="3" s="1"/>
  <c r="BA520" i="3"/>
  <c r="AZ520" i="3" s="1"/>
  <c r="BL516" i="3"/>
  <c r="BL515" i="3"/>
  <c r="AZ515" i="3" s="1"/>
  <c r="BA509" i="3"/>
  <c r="AZ509" i="3" s="1"/>
  <c r="BL508" i="3"/>
  <c r="BA505" i="3"/>
  <c r="BA504" i="3"/>
  <c r="BA497" i="3"/>
  <c r="AZ497" i="3" s="1"/>
  <c r="BL496" i="3"/>
  <c r="BA496" i="3"/>
  <c r="AZ496" i="3" s="1"/>
  <c r="BA17" i="3"/>
  <c r="AZ17" i="3" s="1"/>
  <c r="BA16" i="3"/>
  <c r="BL14" i="3"/>
  <c r="AZ14" i="3" s="1"/>
  <c r="BR5" i="3"/>
  <c r="D78" i="9"/>
  <c r="D93" i="9"/>
  <c r="AZ391" i="3"/>
  <c r="AZ380" i="3"/>
  <c r="AZ377" i="3"/>
  <c r="AZ357" i="3"/>
  <c r="AZ343" i="3"/>
  <c r="AZ335" i="3"/>
  <c r="AZ307" i="3"/>
  <c r="AZ347" i="3"/>
  <c r="AZ344" i="3"/>
  <c r="AZ342" i="3"/>
  <c r="AZ376" i="3"/>
  <c r="AZ360" i="3"/>
  <c r="AZ327" i="3"/>
  <c r="AZ309" i="3"/>
  <c r="BL547" i="3"/>
  <c r="BL555" i="3"/>
  <c r="BL557" i="3"/>
  <c r="AZ557" i="3" s="1"/>
  <c r="G584" i="3"/>
  <c r="G564" i="3"/>
  <c r="G560" i="3"/>
  <c r="G537" i="3"/>
  <c r="G532" i="3"/>
  <c r="G526" i="3"/>
  <c r="G504" i="3"/>
  <c r="G501" i="3"/>
  <c r="G497" i="3"/>
  <c r="G399" i="3"/>
  <c r="BA400" i="3"/>
  <c r="BL400" i="3"/>
  <c r="BL402" i="3"/>
  <c r="G403" i="3"/>
  <c r="G407" i="3"/>
  <c r="BL408" i="3"/>
  <c r="G409" i="3"/>
  <c r="G411" i="3"/>
  <c r="BL412" i="3"/>
  <c r="G413" i="3"/>
  <c r="G417" i="3"/>
  <c r="G420" i="3"/>
  <c r="G423" i="3"/>
  <c r="BL424" i="3"/>
  <c r="G425" i="3"/>
  <c r="G428" i="3"/>
  <c r="G430" i="3"/>
  <c r="BA431" i="3"/>
  <c r="AZ431" i="3" s="1"/>
  <c r="BL431" i="3"/>
  <c r="BA432" i="3"/>
  <c r="AZ432" i="3" s="1"/>
  <c r="BA433" i="3"/>
  <c r="AZ433" i="3" s="1"/>
  <c r="BL435" i="3"/>
  <c r="G436" i="3"/>
  <c r="G438" i="3"/>
  <c r="BL439" i="3"/>
  <c r="G440" i="3"/>
  <c r="G442" i="3"/>
  <c r="BA443" i="3"/>
  <c r="AZ443" i="3" s="1"/>
  <c r="BL443" i="3"/>
  <c r="BL445" i="3"/>
  <c r="G446" i="3"/>
  <c r="G449" i="3"/>
  <c r="BA450" i="3"/>
  <c r="BL450" i="3"/>
  <c r="BA451" i="3"/>
  <c r="AZ451" i="3" s="1"/>
  <c r="BA453" i="3"/>
  <c r="AZ453" i="3" s="1"/>
  <c r="BL453" i="3"/>
  <c r="BA454" i="3"/>
  <c r="AZ454" i="3" s="1"/>
  <c r="BA455" i="3"/>
  <c r="AZ455" i="3" s="1"/>
  <c r="BA457" i="3"/>
  <c r="AZ457" i="3" s="1"/>
  <c r="BL457" i="3"/>
  <c r="BA458" i="3"/>
  <c r="AZ458" i="3" s="1"/>
  <c r="BA460" i="3"/>
  <c r="BL460" i="3"/>
  <c r="BA461" i="3"/>
  <c r="AZ461" i="3" s="1"/>
  <c r="BL463" i="3"/>
  <c r="G464" i="3"/>
  <c r="G466" i="3"/>
  <c r="G468" i="3"/>
  <c r="G470" i="3"/>
  <c r="BA471" i="3"/>
  <c r="BL471" i="3"/>
  <c r="BA472" i="3"/>
  <c r="AZ472" i="3" s="1"/>
  <c r="BA473" i="3"/>
  <c r="AZ473" i="3" s="1"/>
  <c r="BA474" i="3"/>
  <c r="AZ474" i="3" s="1"/>
  <c r="BL476" i="3"/>
  <c r="G477" i="3"/>
  <c r="G480" i="3"/>
  <c r="G484" i="3"/>
  <c r="BA485" i="3"/>
  <c r="AZ485" i="3" s="1"/>
  <c r="BL485" i="3"/>
  <c r="BL487" i="3"/>
  <c r="G488" i="3"/>
  <c r="BA489" i="3"/>
  <c r="AZ489" i="3" s="1"/>
  <c r="BL489" i="3"/>
  <c r="BA491" i="3"/>
  <c r="AZ491" i="3" s="1"/>
  <c r="BL491" i="3"/>
  <c r="BA492" i="3"/>
  <c r="AZ492" i="3" s="1"/>
  <c r="BA316" i="3"/>
  <c r="BL316" i="3"/>
  <c r="BL328" i="3"/>
  <c r="AZ328" i="3" s="1"/>
  <c r="G329" i="3"/>
  <c r="BA331" i="3"/>
  <c r="AZ331" i="3" s="1"/>
  <c r="BL333" i="3"/>
  <c r="G334" i="3"/>
  <c r="G339" i="3"/>
  <c r="BL340" i="3"/>
  <c r="AZ340" i="3" s="1"/>
  <c r="G349" i="3"/>
  <c r="BA350" i="3"/>
  <c r="BL350" i="3"/>
  <c r="BA353" i="3"/>
  <c r="AZ353" i="3" s="1"/>
  <c r="G358" i="3"/>
  <c r="BL359" i="3"/>
  <c r="AZ359" i="3" s="1"/>
  <c r="BA370" i="3"/>
  <c r="AZ370" i="3" s="1"/>
  <c r="BA374" i="3"/>
  <c r="AZ374" i="3" s="1"/>
  <c r="BL383" i="3"/>
  <c r="AZ383" i="3" s="1"/>
  <c r="G384" i="3"/>
  <c r="BA386" i="3"/>
  <c r="AZ386" i="3" s="1"/>
  <c r="G392" i="3"/>
  <c r="BL393" i="3"/>
  <c r="AZ393" i="3" s="1"/>
  <c r="BL395" i="3"/>
  <c r="G396" i="3"/>
  <c r="BA397" i="3"/>
  <c r="BL397" i="3"/>
  <c r="BA208" i="3"/>
  <c r="AZ208" i="3" s="1"/>
  <c r="BA209" i="3"/>
  <c r="AZ209" i="3" s="1"/>
  <c r="BA211" i="3"/>
  <c r="BL211" i="3"/>
  <c r="BA212" i="3"/>
  <c r="AZ212" i="3" s="1"/>
  <c r="BA213" i="3"/>
  <c r="AZ213" i="3" s="1"/>
  <c r="BA214" i="3"/>
  <c r="AZ214" i="3" s="1"/>
  <c r="BA215" i="3"/>
  <c r="AZ215" i="3" s="1"/>
  <c r="BA216" i="3"/>
  <c r="BL216" i="3"/>
  <c r="G217" i="3"/>
  <c r="G219" i="3"/>
  <c r="BA220" i="3"/>
  <c r="BL220" i="3"/>
  <c r="BA221" i="3"/>
  <c r="AZ221" i="3" s="1"/>
  <c r="BA222" i="3"/>
  <c r="AZ222" i="3" s="1"/>
  <c r="BA223" i="3"/>
  <c r="AZ223" i="3" s="1"/>
  <c r="BA224" i="3"/>
  <c r="AZ224" i="3" s="1"/>
  <c r="BL226" i="3"/>
  <c r="G227" i="3"/>
  <c r="BA228" i="3"/>
  <c r="BL228" i="3"/>
  <c r="BL230" i="3"/>
  <c r="G231" i="3"/>
  <c r="BL232" i="3"/>
  <c r="G233" i="3"/>
  <c r="BL234" i="3"/>
  <c r="G235" i="3"/>
  <c r="BA236" i="3"/>
  <c r="BL236" i="3"/>
  <c r="BA238" i="3"/>
  <c r="BL238" i="3"/>
  <c r="BA240" i="3"/>
  <c r="BL240" i="3"/>
  <c r="BL242" i="3"/>
  <c r="G243" i="3"/>
  <c r="BL244" i="3"/>
  <c r="G245" i="3"/>
  <c r="BA246" i="3"/>
  <c r="BL246" i="3"/>
  <c r="BA247" i="3"/>
  <c r="AZ247" i="3" s="1"/>
  <c r="BA248" i="3"/>
  <c r="AZ248" i="3" s="1"/>
  <c r="BA249" i="3"/>
  <c r="AZ249" i="3" s="1"/>
  <c r="BA250" i="3"/>
  <c r="AZ250" i="3" s="1"/>
  <c r="BA251" i="3"/>
  <c r="AZ251" i="3" s="1"/>
  <c r="BA253" i="3"/>
  <c r="AZ253" i="3" s="1"/>
  <c r="BL253" i="3"/>
  <c r="BA255" i="3"/>
  <c r="AZ255" i="3" s="1"/>
  <c r="BL255" i="3"/>
  <c r="BA257" i="3"/>
  <c r="AZ257" i="3" s="1"/>
  <c r="BL257" i="3"/>
  <c r="BA258" i="3"/>
  <c r="AZ258" i="3" s="1"/>
  <c r="BA259" i="3"/>
  <c r="AZ259" i="3" s="1"/>
  <c r="BA261" i="3"/>
  <c r="AZ261" i="3" s="1"/>
  <c r="BL261" i="3"/>
  <c r="BA262" i="3"/>
  <c r="AZ262" i="3" s="1"/>
  <c r="BA263" i="3"/>
  <c r="AZ263" i="3" s="1"/>
  <c r="BA265" i="3"/>
  <c r="AZ265" i="3" s="1"/>
  <c r="BL265" i="3"/>
  <c r="BL267" i="3"/>
  <c r="G268" i="3"/>
  <c r="BL269" i="3"/>
  <c r="G270" i="3"/>
  <c r="BL271" i="3"/>
  <c r="G272" i="3"/>
  <c r="G274" i="3"/>
  <c r="G276" i="3"/>
  <c r="BL277" i="3"/>
  <c r="G278" i="3"/>
  <c r="G280" i="3"/>
  <c r="G282" i="3"/>
  <c r="BL283" i="3"/>
  <c r="G284" i="3"/>
  <c r="G290" i="3"/>
  <c r="BL291" i="3"/>
  <c r="G292" i="3"/>
  <c r="G295" i="3"/>
  <c r="G297" i="3"/>
  <c r="G299" i="3"/>
  <c r="G114" i="3"/>
  <c r="BL117" i="3"/>
  <c r="G118" i="3"/>
  <c r="BA121" i="3"/>
  <c r="BL121" i="3"/>
  <c r="BL123" i="3"/>
  <c r="AZ123" i="3" s="1"/>
  <c r="G124" i="3"/>
  <c r="BA125" i="3"/>
  <c r="AZ125" i="3" s="1"/>
  <c r="BL127" i="3"/>
  <c r="AZ127" i="3" s="1"/>
  <c r="G128" i="3"/>
  <c r="BA130" i="3"/>
  <c r="AZ130" i="3" s="1"/>
  <c r="BL130" i="3"/>
  <c r="BA132" i="3"/>
  <c r="AZ132" i="3" s="1"/>
  <c r="BA134" i="3"/>
  <c r="BL134" i="3"/>
  <c r="BA136" i="3"/>
  <c r="AZ136" i="3" s="1"/>
  <c r="G139" i="3"/>
  <c r="G142" i="3"/>
  <c r="BA145" i="3"/>
  <c r="BL145" i="3"/>
  <c r="BA148" i="3"/>
  <c r="AZ148" i="3" s="1"/>
  <c r="BL150" i="3"/>
  <c r="G151" i="3"/>
  <c r="BA152" i="3"/>
  <c r="AZ152" i="3" s="1"/>
  <c r="BL154" i="3"/>
  <c r="G155" i="3"/>
  <c r="BA156" i="3"/>
  <c r="AZ156" i="3" s="1"/>
  <c r="G159" i="3"/>
  <c r="G162" i="3"/>
  <c r="BL165" i="3"/>
  <c r="G166" i="3"/>
  <c r="G168" i="3"/>
  <c r="BL169" i="3"/>
  <c r="G170" i="3"/>
  <c r="G172" i="3"/>
  <c r="BA173" i="3"/>
  <c r="BL173" i="3"/>
  <c r="W21" i="21"/>
  <c r="AC21" i="21"/>
  <c r="F40" i="69"/>
  <c r="C40" i="69"/>
  <c r="BL175" i="3"/>
  <c r="AZ175" i="3" s="1"/>
  <c r="G176" i="3"/>
  <c r="BA178" i="3"/>
  <c r="BL178" i="3"/>
  <c r="BA180" i="3"/>
  <c r="AZ180" i="3" s="1"/>
  <c r="BL182" i="3"/>
  <c r="G183" i="3"/>
  <c r="BA184" i="3"/>
  <c r="AZ184" i="3" s="1"/>
  <c r="BL186" i="3"/>
  <c r="G187" i="3"/>
  <c r="BA188" i="3"/>
  <c r="AZ188" i="3" s="1"/>
  <c r="G191" i="3"/>
  <c r="G194" i="3"/>
  <c r="BL197" i="3"/>
  <c r="G198" i="3"/>
  <c r="G200" i="3"/>
  <c r="BL201" i="3"/>
  <c r="G202" i="3"/>
  <c r="G204" i="3"/>
  <c r="BA205" i="3"/>
  <c r="AZ205" i="3" s="1"/>
  <c r="BL205" i="3"/>
  <c r="BL207" i="3"/>
  <c r="G18" i="3"/>
  <c r="G20" i="3"/>
  <c r="G22" i="3"/>
  <c r="G26" i="3"/>
  <c r="G31" i="3"/>
  <c r="G33" i="3"/>
  <c r="G37" i="3"/>
  <c r="G41" i="3"/>
  <c r="G43" i="3"/>
  <c r="G47" i="3"/>
  <c r="G50" i="3"/>
  <c r="G52" i="3"/>
  <c r="BL53" i="3"/>
  <c r="G54" i="3"/>
  <c r="BL55" i="3"/>
  <c r="G56" i="3"/>
  <c r="G58" i="3"/>
  <c r="G60" i="3"/>
  <c r="BL61" i="3"/>
  <c r="G62" i="3"/>
  <c r="G64" i="3"/>
  <c r="BA65" i="3"/>
  <c r="AZ65" i="3" s="1"/>
  <c r="BL65" i="3"/>
  <c r="G66" i="3"/>
  <c r="G68" i="3"/>
  <c r="G70" i="3"/>
  <c r="BL71" i="3"/>
  <c r="G72" i="3"/>
  <c r="BL73" i="3"/>
  <c r="G74" i="3"/>
  <c r="BL75" i="3"/>
  <c r="G76" i="3"/>
  <c r="G78" i="3"/>
  <c r="G80" i="3"/>
  <c r="G88" i="3"/>
  <c r="G90" i="3"/>
  <c r="G92" i="3"/>
  <c r="BL93" i="3"/>
  <c r="G94" i="3"/>
  <c r="BA95" i="3"/>
  <c r="BL95" i="3"/>
  <c r="BA96" i="3"/>
  <c r="AZ96" i="3" s="1"/>
  <c r="BA97" i="3"/>
  <c r="AZ97" i="3" s="1"/>
  <c r="BA98" i="3"/>
  <c r="AZ98" i="3" s="1"/>
  <c r="BL100" i="3"/>
  <c r="G101" i="3"/>
  <c r="BL102" i="3"/>
  <c r="G103" i="3"/>
  <c r="G105" i="3"/>
  <c r="F3" i="35"/>
  <c r="AA21" i="33"/>
  <c r="S21" i="33"/>
  <c r="AB21" i="34"/>
  <c r="U21" i="34"/>
  <c r="D59" i="71"/>
  <c r="C60" i="71"/>
  <c r="C64" i="71"/>
  <c r="D64" i="71" s="1"/>
  <c r="D63" i="71"/>
  <c r="B47" i="71"/>
  <c r="B48" i="71" s="1"/>
  <c r="S48" i="71" s="1"/>
  <c r="P32" i="43"/>
  <c r="S3" i="79"/>
  <c r="U30" i="79"/>
  <c r="T31" i="79"/>
  <c r="W31" i="79" s="1"/>
  <c r="T32" i="79"/>
  <c r="W32" i="79" s="1"/>
  <c r="S18" i="35"/>
  <c r="T32" i="71"/>
  <c r="D83" i="71"/>
  <c r="AA28" i="71"/>
  <c r="AA3" i="71"/>
  <c r="C87" i="71"/>
  <c r="D68" i="71"/>
  <c r="C51" i="71"/>
  <c r="X26" i="71"/>
  <c r="X38" i="71"/>
  <c r="C35" i="71"/>
  <c r="E39" i="71"/>
  <c r="E40" i="71" s="1"/>
  <c r="U40" i="71" s="1"/>
  <c r="F32" i="71"/>
  <c r="V32" i="71" s="1"/>
  <c r="Y31" i="71"/>
  <c r="Z31" i="71" s="1"/>
  <c r="AA32" i="71"/>
  <c r="C32" i="77"/>
  <c r="C38" i="77" s="1"/>
  <c r="C39" i="77" s="1"/>
  <c r="L65" i="9"/>
  <c r="M65" i="9" s="1"/>
  <c r="L64" i="9"/>
  <c r="M64" i="9" s="1"/>
  <c r="L68" i="9"/>
  <c r="M68" i="9" s="1"/>
  <c r="L66" i="9"/>
  <c r="M66" i="9" s="1"/>
  <c r="L63" i="9"/>
  <c r="M63" i="9" s="1"/>
  <c r="M69" i="9" s="1"/>
  <c r="N69" i="9" s="1"/>
  <c r="L67" i="9"/>
  <c r="M67" i="9" s="1"/>
  <c r="W14" i="21"/>
  <c r="AC14" i="21"/>
  <c r="AA28" i="21"/>
  <c r="S28" i="21"/>
  <c r="S30" i="21"/>
  <c r="AA30" i="21"/>
  <c r="AA24" i="36"/>
  <c r="S24" i="36"/>
  <c r="S44" i="39"/>
  <c r="AA44" i="39"/>
  <c r="AR10" i="1"/>
  <c r="AQ12" i="1"/>
  <c r="AZ575" i="3"/>
  <c r="AZ531" i="3"/>
  <c r="P25" i="43"/>
  <c r="AB23" i="21"/>
  <c r="AA14" i="21"/>
  <c r="S43" i="33"/>
  <c r="U42" i="33"/>
  <c r="U27" i="34"/>
  <c r="AB41" i="34"/>
  <c r="U44" i="34"/>
  <c r="AA36" i="35"/>
  <c r="AB20" i="36"/>
  <c r="AC26" i="36"/>
  <c r="S37" i="39"/>
  <c r="S31" i="39"/>
  <c r="AC14" i="35"/>
  <c r="AC11" i="39"/>
  <c r="U17" i="39"/>
  <c r="AZ318" i="3"/>
  <c r="AZ372" i="3"/>
  <c r="AZ364" i="3"/>
  <c r="AZ337" i="3"/>
  <c r="AZ320" i="3"/>
  <c r="AZ305" i="3"/>
  <c r="K5" i="4"/>
  <c r="B47" i="48" s="1"/>
  <c r="AA41" i="34"/>
  <c r="H31" i="40"/>
  <c r="F31" i="40"/>
  <c r="BQ5" i="3"/>
  <c r="F28" i="6" s="1"/>
  <c r="BL511" i="3"/>
  <c r="BL527" i="3"/>
  <c r="AZ527" i="3" s="1"/>
  <c r="BL565" i="3"/>
  <c r="AZ565" i="3" s="1"/>
  <c r="BL573" i="3"/>
  <c r="AZ573" i="3" s="1"/>
  <c r="AZ534" i="3"/>
  <c r="S11" i="36"/>
  <c r="H14" i="21"/>
  <c r="AA42" i="34"/>
  <c r="W40" i="33"/>
  <c r="AA15" i="34"/>
  <c r="S15" i="34"/>
  <c r="H31" i="21"/>
  <c r="J31" i="21"/>
  <c r="F31" i="21"/>
  <c r="AB35" i="33"/>
  <c r="U35" i="33"/>
  <c r="AA38" i="33"/>
  <c r="S38" i="33"/>
  <c r="H29" i="33"/>
  <c r="F29" i="33"/>
  <c r="J29" i="34"/>
  <c r="F29" i="34"/>
  <c r="F13" i="35"/>
  <c r="H13" i="35"/>
  <c r="AC22" i="35"/>
  <c r="W22" i="35"/>
  <c r="U12" i="36"/>
  <c r="AB12" i="36"/>
  <c r="F28" i="37"/>
  <c r="H28" i="37"/>
  <c r="E107" i="37"/>
  <c r="F107" i="37" s="1"/>
  <c r="G107" i="37" s="1"/>
  <c r="H107" i="37" s="1"/>
  <c r="I107" i="37" s="1"/>
  <c r="J107" i="37" s="1"/>
  <c r="K107" i="37" s="1"/>
  <c r="L107" i="37" s="1"/>
  <c r="M107" i="37" s="1"/>
  <c r="H37" i="37"/>
  <c r="U37" i="37" s="1"/>
  <c r="H25" i="37"/>
  <c r="J25" i="37"/>
  <c r="J12" i="40"/>
  <c r="H12" i="40"/>
  <c r="BA584" i="3"/>
  <c r="AZ584" i="3" s="1"/>
  <c r="BL582" i="3"/>
  <c r="BL580" i="3"/>
  <c r="AZ580" i="3" s="1"/>
  <c r="G565" i="3"/>
  <c r="BA561" i="3"/>
  <c r="AZ561" i="3" s="1"/>
  <c r="BA558" i="3"/>
  <c r="AZ558" i="3" s="1"/>
  <c r="BL556" i="3"/>
  <c r="AZ556" i="3" s="1"/>
  <c r="BL554" i="3"/>
  <c r="AZ554" i="3" s="1"/>
  <c r="BA553" i="3"/>
  <c r="BA552" i="3"/>
  <c r="AZ552" i="3" s="1"/>
  <c r="G540" i="3"/>
  <c r="BA538" i="3"/>
  <c r="AZ538" i="3" s="1"/>
  <c r="BA537" i="3"/>
  <c r="AZ537" i="3" s="1"/>
  <c r="BL532" i="3"/>
  <c r="AZ532" i="3" s="1"/>
  <c r="BA503" i="3"/>
  <c r="AZ503" i="3" s="1"/>
  <c r="BL502" i="3"/>
  <c r="BA502" i="3"/>
  <c r="AZ502" i="3" s="1"/>
  <c r="BA501" i="3"/>
  <c r="AZ501" i="3" s="1"/>
  <c r="BL500" i="3"/>
  <c r="BA500" i="3"/>
  <c r="BA499" i="3"/>
  <c r="AZ499" i="3" s="1"/>
  <c r="AZ548" i="3"/>
  <c r="AZ574" i="3"/>
  <c r="AZ528" i="3"/>
  <c r="AZ345" i="3"/>
  <c r="S14" i="33"/>
  <c r="AA14" i="33"/>
  <c r="W13" i="36"/>
  <c r="AC13" i="36"/>
  <c r="AB36" i="39"/>
  <c r="U36" i="39"/>
  <c r="BA587" i="3"/>
  <c r="AZ587" i="3" s="1"/>
  <c r="BO5" i="3"/>
  <c r="F29" i="6" s="1"/>
  <c r="BJ5" i="3"/>
  <c r="BA586" i="3"/>
  <c r="H30" i="21"/>
  <c r="J30" i="21"/>
  <c r="AC33" i="33"/>
  <c r="W33" i="33"/>
  <c r="AA27" i="35"/>
  <c r="S27" i="35"/>
  <c r="W27" i="35"/>
  <c r="AC27" i="35"/>
  <c r="H9" i="36"/>
  <c r="U9" i="36" s="1"/>
  <c r="J9" i="36"/>
  <c r="J24" i="36"/>
  <c r="H24" i="36"/>
  <c r="J39" i="37"/>
  <c r="F39" i="37"/>
  <c r="H39" i="37"/>
  <c r="H44" i="39"/>
  <c r="J44" i="39"/>
  <c r="AA38" i="39"/>
  <c r="S38" i="39"/>
  <c r="S9" i="40"/>
  <c r="AA9" i="40"/>
  <c r="AC31" i="40"/>
  <c r="W31" i="40"/>
  <c r="BA577" i="3"/>
  <c r="AZ577" i="3" s="1"/>
  <c r="BA572" i="3"/>
  <c r="AZ572" i="3" s="1"/>
  <c r="BA571" i="3"/>
  <c r="AZ571" i="3" s="1"/>
  <c r="BL570" i="3"/>
  <c r="BL568" i="3"/>
  <c r="BA568" i="3"/>
  <c r="BA567" i="3"/>
  <c r="AZ567" i="3" s="1"/>
  <c r="BA551" i="3"/>
  <c r="AZ551" i="3" s="1"/>
  <c r="BA550" i="3"/>
  <c r="AZ550" i="3" s="1"/>
  <c r="BA547" i="3"/>
  <c r="AZ547" i="3" s="1"/>
  <c r="BA546" i="3"/>
  <c r="AZ546" i="3" s="1"/>
  <c r="BL544" i="3"/>
  <c r="AZ544" i="3" s="1"/>
  <c r="BA543" i="3"/>
  <c r="AZ543" i="3" s="1"/>
  <c r="BL542" i="3"/>
  <c r="BA542" i="3"/>
  <c r="BA530" i="3"/>
  <c r="AZ530" i="3" s="1"/>
  <c r="BA529" i="3"/>
  <c r="AZ529" i="3" s="1"/>
  <c r="BL526" i="3"/>
  <c r="BL524" i="3"/>
  <c r="AZ524" i="3" s="1"/>
  <c r="BA524" i="3"/>
  <c r="BA523" i="3"/>
  <c r="AZ523" i="3" s="1"/>
  <c r="BL522" i="3"/>
  <c r="BA522" i="3"/>
  <c r="AZ522" i="3" s="1"/>
  <c r="BA519" i="3"/>
  <c r="AZ519" i="3" s="1"/>
  <c r="BL518" i="3"/>
  <c r="BA518" i="3"/>
  <c r="BA517" i="3"/>
  <c r="AZ517" i="3" s="1"/>
  <c r="BA516" i="3"/>
  <c r="AZ516" i="3" s="1"/>
  <c r="BA514" i="3"/>
  <c r="AZ514" i="3" s="1"/>
  <c r="BA513" i="3"/>
  <c r="AZ513" i="3" s="1"/>
  <c r="BL512" i="3"/>
  <c r="BA512" i="3"/>
  <c r="BA511" i="3"/>
  <c r="AZ511" i="3" s="1"/>
  <c r="BL510" i="3"/>
  <c r="BA510" i="3"/>
  <c r="AZ510" i="3" s="1"/>
  <c r="BA508" i="3"/>
  <c r="AZ508" i="3" s="1"/>
  <c r="BL506" i="3"/>
  <c r="BL504" i="3"/>
  <c r="AZ504" i="3" s="1"/>
  <c r="G581" i="3"/>
  <c r="G577" i="3"/>
  <c r="G566" i="3"/>
  <c r="G556" i="3"/>
  <c r="G541" i="3"/>
  <c r="G533" i="3"/>
  <c r="BA526" i="3"/>
  <c r="BA507" i="3"/>
  <c r="AZ507" i="3" s="1"/>
  <c r="BA506" i="3"/>
  <c r="G505" i="3"/>
  <c r="BA495" i="3"/>
  <c r="AZ495" i="3" s="1"/>
  <c r="BL494" i="3"/>
  <c r="BA494" i="3"/>
  <c r="AZ494" i="3" s="1"/>
  <c r="BL16" i="3"/>
  <c r="AZ16" i="3" s="1"/>
  <c r="BL15" i="3"/>
  <c r="AZ15" i="3" s="1"/>
  <c r="BL398" i="3"/>
  <c r="AZ398" i="3" s="1"/>
  <c r="BA399" i="3"/>
  <c r="AZ399" i="3" s="1"/>
  <c r="BL401" i="3"/>
  <c r="AZ401" i="3" s="1"/>
  <c r="BA402" i="3"/>
  <c r="AZ402" i="3" s="1"/>
  <c r="G405" i="3"/>
  <c r="G406" i="3"/>
  <c r="BL406" i="3"/>
  <c r="BA407" i="3"/>
  <c r="AZ407" i="3" s="1"/>
  <c r="BA408" i="3"/>
  <c r="AZ408" i="3" s="1"/>
  <c r="BL410" i="3"/>
  <c r="AZ410" i="3" s="1"/>
  <c r="BA411" i="3"/>
  <c r="AZ411" i="3" s="1"/>
  <c r="BA412" i="3"/>
  <c r="AZ412" i="3" s="1"/>
  <c r="G415" i="3"/>
  <c r="G416" i="3"/>
  <c r="BL416" i="3"/>
  <c r="AZ416" i="3" s="1"/>
  <c r="G419" i="3"/>
  <c r="BL419" i="3"/>
  <c r="G422" i="3"/>
  <c r="BL422" i="3"/>
  <c r="BA423" i="3"/>
  <c r="AZ423" i="3" s="1"/>
  <c r="BA424" i="3"/>
  <c r="AZ424" i="3" s="1"/>
  <c r="G427" i="3"/>
  <c r="BL427" i="3"/>
  <c r="AZ427" i="3" s="1"/>
  <c r="BL429" i="3"/>
  <c r="AZ429" i="3" s="1"/>
  <c r="BA430" i="3"/>
  <c r="AZ430" i="3" s="1"/>
  <c r="G433" i="3"/>
  <c r="G434" i="3"/>
  <c r="BL434" i="3"/>
  <c r="BA435" i="3"/>
  <c r="AZ435" i="3" s="1"/>
  <c r="BL437" i="3"/>
  <c r="AZ437" i="3" s="1"/>
  <c r="BA438" i="3"/>
  <c r="AZ438" i="3" s="1"/>
  <c r="BA439" i="3"/>
  <c r="AZ439" i="3" s="1"/>
  <c r="BL441" i="3"/>
  <c r="AZ441" i="3" s="1"/>
  <c r="BA442" i="3"/>
  <c r="AZ442" i="3" s="1"/>
  <c r="BL444" i="3"/>
  <c r="AZ444" i="3" s="1"/>
  <c r="BA445" i="3"/>
  <c r="AZ445" i="3" s="1"/>
  <c r="G448" i="3"/>
  <c r="BL448" i="3"/>
  <c r="BA449" i="3"/>
  <c r="AZ449" i="3" s="1"/>
  <c r="G452" i="3"/>
  <c r="BL452" i="3"/>
  <c r="AZ452" i="3" s="1"/>
  <c r="G455" i="3"/>
  <c r="G456" i="3"/>
  <c r="BL456" i="3"/>
  <c r="AZ456" i="3" s="1"/>
  <c r="G459" i="3"/>
  <c r="BL459" i="3"/>
  <c r="G462" i="3"/>
  <c r="BL462" i="3"/>
  <c r="BA463" i="3"/>
  <c r="AZ463" i="3" s="1"/>
  <c r="BL465" i="3"/>
  <c r="AZ465" i="3" s="1"/>
  <c r="BA466" i="3"/>
  <c r="AZ466" i="3" s="1"/>
  <c r="BA467" i="3"/>
  <c r="BL467" i="3"/>
  <c r="G469" i="3"/>
  <c r="BL469" i="3"/>
  <c r="BA470" i="3"/>
  <c r="AZ470" i="3" s="1"/>
  <c r="G473" i="3"/>
  <c r="G474" i="3"/>
  <c r="G475" i="3"/>
  <c r="BL475" i="3"/>
  <c r="BA476" i="3"/>
  <c r="AZ476" i="3" s="1"/>
  <c r="G479" i="3"/>
  <c r="BL479" i="3"/>
  <c r="G482" i="3"/>
  <c r="G483" i="3"/>
  <c r="BL483" i="3"/>
  <c r="BA484" i="3"/>
  <c r="AZ484" i="3" s="1"/>
  <c r="BL486" i="3"/>
  <c r="AZ486" i="3" s="1"/>
  <c r="BA487" i="3"/>
  <c r="AZ487" i="3" s="1"/>
  <c r="BA488" i="3"/>
  <c r="AZ488" i="3" s="1"/>
  <c r="BL490" i="3"/>
  <c r="AZ490" i="3" s="1"/>
  <c r="G311" i="3"/>
  <c r="G315" i="3"/>
  <c r="BA317" i="3"/>
  <c r="AZ317" i="3" s="1"/>
  <c r="G327" i="3"/>
  <c r="G331" i="3"/>
  <c r="BA333" i="3"/>
  <c r="AZ333" i="3" s="1"/>
  <c r="BA339" i="3"/>
  <c r="AZ339" i="3" s="1"/>
  <c r="G345" i="3"/>
  <c r="BL348" i="3"/>
  <c r="AZ348" i="3" s="1"/>
  <c r="BA352" i="3"/>
  <c r="AZ352" i="3" s="1"/>
  <c r="BL354" i="3"/>
  <c r="AZ354" i="3" s="1"/>
  <c r="BA358" i="3"/>
  <c r="AZ358" i="3" s="1"/>
  <c r="BL363" i="3"/>
  <c r="AZ363" i="3" s="1"/>
  <c r="BL367" i="3"/>
  <c r="AZ367" i="3" s="1"/>
  <c r="G369" i="3"/>
  <c r="BL381" i="3"/>
  <c r="AZ381" i="3" s="1"/>
  <c r="G382" i="3"/>
  <c r="BA384" i="3"/>
  <c r="AZ384" i="3" s="1"/>
  <c r="BL385" i="3"/>
  <c r="G387" i="3"/>
  <c r="BA395" i="3"/>
  <c r="AZ395" i="3" s="1"/>
  <c r="BA396" i="3"/>
  <c r="AZ396" i="3" s="1"/>
  <c r="G209" i="3"/>
  <c r="G210" i="3"/>
  <c r="BL210" i="3"/>
  <c r="G213" i="3"/>
  <c r="G214" i="3"/>
  <c r="G215" i="3"/>
  <c r="G216" i="3"/>
  <c r="AZ419" i="3"/>
  <c r="AZ448" i="3"/>
  <c r="AZ459"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G24" i="3"/>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BA54" i="3"/>
  <c r="AZ54" i="3" s="1"/>
  <c r="BA55" i="3"/>
  <c r="AZ55" i="3" s="1"/>
  <c r="BL57" i="3"/>
  <c r="AZ57" i="3" s="1"/>
  <c r="BL59" i="3"/>
  <c r="AZ59" i="3" s="1"/>
  <c r="BA60" i="3"/>
  <c r="AZ60" i="3" s="1"/>
  <c r="BA61" i="3"/>
  <c r="AZ61" i="3" s="1"/>
  <c r="BL63" i="3"/>
  <c r="AZ63" i="3" s="1"/>
  <c r="BA64" i="3"/>
  <c r="AZ64" i="3" s="1"/>
  <c r="C55" i="71"/>
  <c r="D54" i="71"/>
  <c r="BL218" i="3"/>
  <c r="AZ218" i="3" s="1"/>
  <c r="BA219" i="3"/>
  <c r="AZ219" i="3" s="1"/>
  <c r="G222" i="3"/>
  <c r="G223" i="3"/>
  <c r="G224" i="3"/>
  <c r="G225" i="3"/>
  <c r="BL225" i="3"/>
  <c r="AZ225" i="3" s="1"/>
  <c r="BA226" i="3"/>
  <c r="AZ226" i="3" s="1"/>
  <c r="BA227" i="3"/>
  <c r="AZ227" i="3" s="1"/>
  <c r="BL229" i="3"/>
  <c r="AZ229" i="3" s="1"/>
  <c r="BA230" i="3"/>
  <c r="AZ230" i="3" s="1"/>
  <c r="BA231" i="3"/>
  <c r="AZ231" i="3" s="1"/>
  <c r="BA232" i="3"/>
  <c r="AZ232" i="3" s="1"/>
  <c r="BA233" i="3"/>
  <c r="AZ233" i="3" s="1"/>
  <c r="BA234" i="3"/>
  <c r="AZ234" i="3" s="1"/>
  <c r="BA235" i="3"/>
  <c r="AZ235" i="3" s="1"/>
  <c r="BL237" i="3"/>
  <c r="AZ237" i="3" s="1"/>
  <c r="BL239" i="3"/>
  <c r="AZ239" i="3" s="1"/>
  <c r="BL241" i="3"/>
  <c r="AZ241" i="3" s="1"/>
  <c r="BA242" i="3"/>
  <c r="AZ242" i="3" s="1"/>
  <c r="BA243" i="3"/>
  <c r="AZ243" i="3" s="1"/>
  <c r="BA244" i="3"/>
  <c r="AZ244" i="3" s="1"/>
  <c r="BA245" i="3"/>
  <c r="AZ245" i="3" s="1"/>
  <c r="G248" i="3"/>
  <c r="G249" i="3"/>
  <c r="G250" i="3"/>
  <c r="G251" i="3"/>
  <c r="G252" i="3"/>
  <c r="BL252" i="3"/>
  <c r="AZ252" i="3" s="1"/>
  <c r="BL254" i="3"/>
  <c r="AZ254" i="3" s="1"/>
  <c r="BL256" i="3"/>
  <c r="AZ256" i="3" s="1"/>
  <c r="G259" i="3"/>
  <c r="G260" i="3"/>
  <c r="BL260" i="3"/>
  <c r="AZ260" i="3" s="1"/>
  <c r="G263" i="3"/>
  <c r="G264" i="3"/>
  <c r="BL264" i="3"/>
  <c r="AZ264" i="3" s="1"/>
  <c r="BL266" i="3"/>
  <c r="AZ266" i="3" s="1"/>
  <c r="BA267" i="3"/>
  <c r="AZ267" i="3" s="1"/>
  <c r="BA268" i="3"/>
  <c r="AZ268" i="3" s="1"/>
  <c r="BA269" i="3"/>
  <c r="AZ269" i="3" s="1"/>
  <c r="BA270" i="3"/>
  <c r="AZ270" i="3" s="1"/>
  <c r="BA271" i="3"/>
  <c r="AZ271" i="3" s="1"/>
  <c r="BL273" i="3"/>
  <c r="AZ273" i="3" s="1"/>
  <c r="BL275" i="3"/>
  <c r="AZ275" i="3" s="1"/>
  <c r="BA276" i="3"/>
  <c r="AZ276" i="3" s="1"/>
  <c r="BA277" i="3"/>
  <c r="AZ277" i="3" s="1"/>
  <c r="BL279" i="3"/>
  <c r="AZ279" i="3" s="1"/>
  <c r="BL281" i="3"/>
  <c r="AZ281" i="3" s="1"/>
  <c r="BA282" i="3"/>
  <c r="AZ282" i="3" s="1"/>
  <c r="BA283" i="3"/>
  <c r="AZ283" i="3" s="1"/>
  <c r="G286" i="3"/>
  <c r="G287" i="3"/>
  <c r="G288" i="3"/>
  <c r="G289" i="3"/>
  <c r="BL289" i="3"/>
  <c r="AZ289" i="3" s="1"/>
  <c r="BA290" i="3"/>
  <c r="AZ290" i="3" s="1"/>
  <c r="BA291" i="3"/>
  <c r="AZ291" i="3" s="1"/>
  <c r="G294" i="3"/>
  <c r="BL294" i="3"/>
  <c r="AZ294" i="3" s="1"/>
  <c r="BL296" i="3"/>
  <c r="AZ296" i="3" s="1"/>
  <c r="BL298" i="3"/>
  <c r="AZ298" i="3" s="1"/>
  <c r="G301" i="3"/>
  <c r="G302" i="3"/>
  <c r="BL302" i="3"/>
  <c r="AZ302" i="3" s="1"/>
  <c r="BL113" i="3"/>
  <c r="AZ113" i="3" s="1"/>
  <c r="G116" i="3"/>
  <c r="BA117" i="3"/>
  <c r="AZ117" i="3" s="1"/>
  <c r="G120" i="3"/>
  <c r="BL122" i="3"/>
  <c r="AZ122" i="3" s="1"/>
  <c r="BA124" i="3"/>
  <c r="AZ124" i="3" s="1"/>
  <c r="G126" i="3"/>
  <c r="BL126" i="3"/>
  <c r="BA128" i="3"/>
  <c r="AZ128" i="3" s="1"/>
  <c r="BL129" i="3"/>
  <c r="AZ129" i="3" s="1"/>
  <c r="G132" i="3"/>
  <c r="BA133" i="3"/>
  <c r="AZ133" i="3" s="1"/>
  <c r="G136" i="3"/>
  <c r="BL138" i="3"/>
  <c r="AZ138" i="3" s="1"/>
  <c r="BA140" i="3"/>
  <c r="AZ140" i="3" s="1"/>
  <c r="BL141" i="3"/>
  <c r="AZ141" i="3" s="1"/>
  <c r="G144" i="3"/>
  <c r="BL146" i="3"/>
  <c r="AZ146" i="3" s="1"/>
  <c r="AZ193" i="3"/>
  <c r="P65" i="71"/>
  <c r="P66" i="71"/>
  <c r="C29" i="39"/>
  <c r="B77" i="43"/>
  <c r="T64" i="71"/>
  <c r="T44" i="71"/>
  <c r="AA27" i="71"/>
  <c r="AA25" i="71"/>
  <c r="E28" i="71"/>
  <c r="E27" i="71" s="1"/>
  <c r="E26" i="71" s="1"/>
  <c r="AB25" i="71"/>
  <c r="C71" i="71"/>
  <c r="U68" i="71"/>
  <c r="X36" i="71"/>
  <c r="AA37" i="71"/>
  <c r="Y32" i="71"/>
  <c r="Z32" i="71" s="1"/>
  <c r="BL67" i="3"/>
  <c r="AZ67" i="3" s="1"/>
  <c r="BL69" i="3"/>
  <c r="AZ69" i="3" s="1"/>
  <c r="BA70" i="3"/>
  <c r="AZ70" i="3" s="1"/>
  <c r="BA71" i="3"/>
  <c r="AZ71" i="3" s="1"/>
  <c r="BA72" i="3"/>
  <c r="AZ72" i="3" s="1"/>
  <c r="BA73" i="3"/>
  <c r="AZ73" i="3" s="1"/>
  <c r="BA74" i="3"/>
  <c r="AZ74" i="3" s="1"/>
  <c r="BA75" i="3"/>
  <c r="AZ75" i="3" s="1"/>
  <c r="BL77" i="3"/>
  <c r="AZ77" i="3" s="1"/>
  <c r="BL79" i="3"/>
  <c r="AZ79" i="3" s="1"/>
  <c r="G82" i="3"/>
  <c r="G83" i="3"/>
  <c r="G84" i="3"/>
  <c r="G85" i="3"/>
  <c r="G86" i="3"/>
  <c r="G87" i="3"/>
  <c r="BL87" i="3"/>
  <c r="AZ87" i="3" s="1"/>
  <c r="BL89" i="3"/>
  <c r="AZ89" i="3" s="1"/>
  <c r="BL91" i="3"/>
  <c r="AZ91" i="3" s="1"/>
  <c r="BA92" i="3"/>
  <c r="AZ92" i="3" s="1"/>
  <c r="BA93" i="3"/>
  <c r="AZ93" i="3" s="1"/>
  <c r="BA94" i="3"/>
  <c r="AZ94" i="3" s="1"/>
  <c r="G97" i="3"/>
  <c r="G98" i="3"/>
  <c r="G99" i="3"/>
  <c r="BL99" i="3"/>
  <c r="AZ99" i="3" s="1"/>
  <c r="BA100" i="3"/>
  <c r="AZ100" i="3" s="1"/>
  <c r="BA101" i="3"/>
  <c r="AZ101" i="3" s="1"/>
  <c r="BA102" i="3"/>
  <c r="AZ102" i="3" s="1"/>
  <c r="BL104" i="3"/>
  <c r="AZ104" i="3" s="1"/>
  <c r="G107" i="3"/>
  <c r="G108" i="3"/>
  <c r="G109" i="3"/>
  <c r="G110" i="3"/>
  <c r="G111" i="3"/>
  <c r="G112" i="3"/>
  <c r="BL112" i="3"/>
  <c r="AZ112" i="3" s="1"/>
  <c r="C40" i="68"/>
  <c r="AB21" i="21"/>
  <c r="AB29" i="71"/>
  <c r="X33" i="71"/>
  <c r="B51" i="71"/>
  <c r="B52" i="71" s="1"/>
  <c r="S52" i="71" s="1"/>
  <c r="M32" i="43"/>
  <c r="O32" i="43"/>
  <c r="B15" i="78"/>
  <c r="C15" i="78"/>
  <c r="R9" i="79"/>
  <c r="V8" i="79"/>
  <c r="R6" i="79"/>
  <c r="V10" i="79"/>
  <c r="S30" i="79"/>
  <c r="AB23" i="79"/>
  <c r="U23" i="79"/>
  <c r="AD33" i="79"/>
  <c r="AD35" i="79"/>
  <c r="G13" i="1"/>
  <c r="AA38" i="37"/>
  <c r="AB37" i="37"/>
  <c r="S37" i="37"/>
  <c r="U32" i="37"/>
  <c r="S32" i="37"/>
  <c r="AC29" i="37"/>
  <c r="H33" i="37"/>
  <c r="J33" i="37"/>
  <c r="AC33" i="37" s="1"/>
  <c r="W37" i="37"/>
  <c r="U38" i="37"/>
  <c r="K1" i="73"/>
  <c r="A24" i="51"/>
  <c r="B18" i="72" s="1"/>
  <c r="W33" i="37"/>
  <c r="I24" i="43"/>
  <c r="G44" i="43" s="1"/>
  <c r="G6" i="1"/>
  <c r="C44" i="43"/>
  <c r="C5" i="78"/>
  <c r="D5" i="78" s="1"/>
  <c r="S12" i="71"/>
  <c r="B11" i="71"/>
  <c r="B10" i="71" s="1"/>
  <c r="B9" i="71" s="1"/>
  <c r="B8" i="71" s="1"/>
  <c r="B7" i="71" s="1"/>
  <c r="B6" i="71" s="1"/>
  <c r="B5" i="71" s="1"/>
  <c r="E15" i="71"/>
  <c r="E14" i="71" s="1"/>
  <c r="E13" i="71" s="1"/>
  <c r="E12" i="71" s="1"/>
  <c r="V16" i="71"/>
  <c r="M23" i="43"/>
  <c r="F15" i="71"/>
  <c r="F14" i="71" s="1"/>
  <c r="F13" i="71" s="1"/>
  <c r="F12" i="71" s="1"/>
  <c r="F11" i="71" s="1"/>
  <c r="F10" i="71" s="1"/>
  <c r="F9" i="71" s="1"/>
  <c r="F8" i="71" s="1"/>
  <c r="F7" i="71" s="1"/>
  <c r="F6" i="71" s="1"/>
  <c r="F5" i="71" s="1"/>
  <c r="E61" i="43"/>
  <c r="B59" i="43" s="1"/>
  <c r="H26" i="43"/>
  <c r="G26" i="43"/>
  <c r="F26" i="43"/>
  <c r="E26" i="43"/>
  <c r="B116" i="43"/>
  <c r="W33" i="36"/>
  <c r="AC32" i="36"/>
  <c r="AZ505" i="3"/>
  <c r="AB11" i="35"/>
  <c r="U11" i="35"/>
  <c r="V20" i="71"/>
  <c r="S23" i="33"/>
  <c r="W11" i="34"/>
  <c r="AC11" i="34"/>
  <c r="AA13" i="21"/>
  <c r="S13" i="21"/>
  <c r="T7" i="1"/>
  <c r="U13" i="33"/>
  <c r="AB13" i="33"/>
  <c r="C20" i="71"/>
  <c r="D21" i="71"/>
  <c r="D126" i="9"/>
  <c r="D19" i="53"/>
  <c r="AB32" i="39"/>
  <c r="U32" i="39"/>
  <c r="M7" i="1"/>
  <c r="E67" i="39"/>
  <c r="P16" i="1"/>
  <c r="C11" i="12" s="1"/>
  <c r="C15" i="12" s="1"/>
  <c r="O16" i="1"/>
  <c r="S39" i="34"/>
  <c r="AA39" i="34"/>
  <c r="AZ321" i="3"/>
  <c r="AZ304" i="3"/>
  <c r="AZ553" i="3"/>
  <c r="AZ569" i="3"/>
  <c r="AZ570" i="3"/>
  <c r="AZ582" i="3"/>
  <c r="W29" i="33"/>
  <c r="S12" i="40"/>
  <c r="AA12" i="40"/>
  <c r="AC28" i="37"/>
  <c r="W28" i="37"/>
  <c r="AB13" i="37"/>
  <c r="U13" i="37"/>
  <c r="AA28" i="40"/>
  <c r="S28" i="40"/>
  <c r="AB16" i="36"/>
  <c r="U16" i="36"/>
  <c r="W15" i="40"/>
  <c r="AC15" i="40"/>
  <c r="AC19" i="39"/>
  <c r="W19" i="39"/>
  <c r="U34" i="39"/>
  <c r="AB34" i="39"/>
  <c r="AB35" i="21"/>
  <c r="U35" i="21"/>
  <c r="AB34" i="21"/>
  <c r="U34" i="21"/>
  <c r="BT5" i="3"/>
  <c r="G28" i="6" s="1"/>
  <c r="H13" i="21"/>
  <c r="J13" i="21"/>
  <c r="H44" i="21"/>
  <c r="F44" i="21"/>
  <c r="AA42" i="21"/>
  <c r="S42" i="21"/>
  <c r="H31" i="34"/>
  <c r="F31" i="34"/>
  <c r="H45" i="34"/>
  <c r="J45" i="34"/>
  <c r="F45" i="34"/>
  <c r="H47" i="34"/>
  <c r="F47" i="34"/>
  <c r="J47" i="34"/>
  <c r="AC24" i="35"/>
  <c r="W24" i="35"/>
  <c r="AB24" i="36"/>
  <c r="U24" i="36"/>
  <c r="AB22" i="36"/>
  <c r="U22" i="36"/>
  <c r="AA25" i="37"/>
  <c r="S25" i="37"/>
  <c r="AC32" i="40"/>
  <c r="W32" i="40"/>
  <c r="AZ526" i="3"/>
  <c r="AZ506" i="3"/>
  <c r="BH5" i="3"/>
  <c r="BB5" i="3"/>
  <c r="BD5" i="3"/>
  <c r="BN5" i="3"/>
  <c r="G29" i="6" s="1"/>
  <c r="E29" i="6" s="1"/>
  <c r="K15" i="1" s="1"/>
  <c r="AB12" i="39"/>
  <c r="U12" i="39"/>
  <c r="AA30" i="40"/>
  <c r="S30" i="40"/>
  <c r="W12" i="37"/>
  <c r="AC12" i="37"/>
  <c r="AZ555" i="3"/>
  <c r="AC14" i="37"/>
  <c r="W14" i="37"/>
  <c r="AC35" i="40"/>
  <c r="W35" i="40"/>
  <c r="AB14" i="39"/>
  <c r="U14" i="39"/>
  <c r="AB35" i="35"/>
  <c r="U35" i="35"/>
  <c r="S25" i="35"/>
  <c r="AA25" i="35"/>
  <c r="U31" i="33"/>
  <c r="AB31" i="33"/>
  <c r="U30" i="21"/>
  <c r="AB30" i="21"/>
  <c r="BL586" i="3"/>
  <c r="BL5" i="3" s="1"/>
  <c r="BA585" i="3"/>
  <c r="J27" i="21"/>
  <c r="H27" i="21"/>
  <c r="F27" i="21"/>
  <c r="H46" i="21"/>
  <c r="J46" i="21"/>
  <c r="J9" i="33"/>
  <c r="H9" i="33"/>
  <c r="F9" i="33"/>
  <c r="H23" i="35"/>
  <c r="J23" i="35"/>
  <c r="F23" i="35"/>
  <c r="AB26" i="36"/>
  <c r="U26" i="36"/>
  <c r="AB9" i="36"/>
  <c r="AC24" i="36"/>
  <c r="W24" i="36"/>
  <c r="S25" i="36"/>
  <c r="H34" i="36"/>
  <c r="F34" i="36"/>
  <c r="H15" i="37"/>
  <c r="AB15" i="37" s="1"/>
  <c r="F15" i="37"/>
  <c r="AA15" i="37" s="1"/>
  <c r="U8" i="39"/>
  <c r="AB8" i="39"/>
  <c r="AB35" i="39"/>
  <c r="U35" i="39"/>
  <c r="AZ403" i="3"/>
  <c r="AZ413" i="3"/>
  <c r="AZ425" i="3"/>
  <c r="AZ446" i="3"/>
  <c r="AZ450" i="3"/>
  <c r="AZ464" i="3"/>
  <c r="AZ406" i="3"/>
  <c r="AZ422" i="3"/>
  <c r="AZ434" i="3"/>
  <c r="AZ462" i="3"/>
  <c r="C24" i="43"/>
  <c r="AZ126" i="3"/>
  <c r="AZ469" i="3"/>
  <c r="AZ475" i="3"/>
  <c r="AZ479" i="3"/>
  <c r="AZ483" i="3"/>
  <c r="AZ385" i="3"/>
  <c r="AZ210" i="3"/>
  <c r="AZ217" i="3"/>
  <c r="AZ220" i="3"/>
  <c r="AZ228" i="3"/>
  <c r="AZ236" i="3"/>
  <c r="AZ246" i="3"/>
  <c r="AZ272" i="3"/>
  <c r="AZ278" i="3"/>
  <c r="AZ284" i="3"/>
  <c r="AZ292" i="3"/>
  <c r="AZ118" i="3"/>
  <c r="AZ134" i="3"/>
  <c r="AZ137" i="3"/>
  <c r="AZ145" i="3"/>
  <c r="AZ161" i="3"/>
  <c r="AZ177" i="3"/>
  <c r="AZ25" i="3"/>
  <c r="AZ30" i="3"/>
  <c r="AZ36" i="3"/>
  <c r="AZ40" i="3"/>
  <c r="AZ46" i="3"/>
  <c r="AZ49" i="3"/>
  <c r="AZ76" i="3"/>
  <c r="AZ90" i="3"/>
  <c r="AZ95" i="3"/>
  <c r="AZ103" i="3"/>
  <c r="K13" i="1"/>
  <c r="J51" i="15"/>
  <c r="N59" i="15" s="1"/>
  <c r="C7" i="85"/>
  <c r="C52" i="85" s="1"/>
  <c r="AC21" i="34"/>
  <c r="W21" i="33"/>
  <c r="AC21" i="33"/>
  <c r="B27" i="71"/>
  <c r="B26" i="71" s="1"/>
  <c r="S28" i="71"/>
  <c r="AC18" i="36"/>
  <c r="W18" i="36"/>
  <c r="C36" i="71"/>
  <c r="D35" i="71"/>
  <c r="T28" i="71"/>
  <c r="D28" i="71"/>
  <c r="U28" i="71" s="1"/>
  <c r="C27" i="71"/>
  <c r="O65" i="71"/>
  <c r="V28" i="71"/>
  <c r="AB28" i="71"/>
  <c r="AB26" i="71"/>
  <c r="X28" i="71"/>
  <c r="Y28" i="71"/>
  <c r="Z28" i="71" s="1"/>
  <c r="Y27" i="71"/>
  <c r="Z27" i="71" s="1"/>
  <c r="Y26" i="71"/>
  <c r="Z26" i="71" s="1"/>
  <c r="Y25" i="71"/>
  <c r="Z25" i="71" s="1"/>
  <c r="B30" i="71"/>
  <c r="B31" i="71" s="1"/>
  <c r="B32" i="71" s="1"/>
  <c r="S32" i="71" s="1"/>
  <c r="AB36" i="71"/>
  <c r="F39" i="71"/>
  <c r="F40" i="71" s="1"/>
  <c r="V40" i="71" s="1"/>
  <c r="D38" i="77"/>
  <c r="D39" i="77" s="1"/>
  <c r="D29" i="77"/>
  <c r="D32" i="77" s="1"/>
  <c r="D26" i="77"/>
  <c r="E23" i="77"/>
  <c r="F25" i="78"/>
  <c r="G24" i="78"/>
  <c r="G25" i="78"/>
  <c r="U29" i="39"/>
  <c r="S21" i="34"/>
  <c r="C25" i="40"/>
  <c r="B57" i="43"/>
  <c r="R25" i="77"/>
  <c r="R5" i="77" s="1"/>
  <c r="U5" i="77" s="1"/>
  <c r="N56" i="9"/>
  <c r="V24" i="71"/>
  <c r="R35" i="77"/>
  <c r="U34" i="77" s="1"/>
  <c r="B18" i="78"/>
  <c r="G23" i="78"/>
  <c r="P10" i="79"/>
  <c r="T29" i="79"/>
  <c r="W29" i="79" s="1"/>
  <c r="S29" i="79"/>
  <c r="R3" i="79"/>
  <c r="S23" i="79"/>
  <c r="AD34" i="79"/>
  <c r="U31" i="79"/>
  <c r="AD30" i="79"/>
  <c r="U27" i="79"/>
  <c r="U29" i="79"/>
  <c r="S28" i="79"/>
  <c r="U6" i="79"/>
  <c r="U8" i="79"/>
  <c r="S7" i="79"/>
  <c r="S8" i="79"/>
  <c r="P5" i="79"/>
  <c r="T27" i="79"/>
  <c r="W27" i="79" s="1"/>
  <c r="T26" i="79"/>
  <c r="W26" i="79" s="1"/>
  <c r="T28" i="79"/>
  <c r="W28" i="79" s="1"/>
  <c r="V6" i="79"/>
  <c r="T6" i="79"/>
  <c r="W6" i="79" s="1"/>
  <c r="T7" i="79"/>
  <c r="W7" i="79" s="1"/>
  <c r="R7" i="79"/>
  <c r="R8" i="79"/>
  <c r="N3" i="79"/>
  <c r="T3" i="79"/>
  <c r="W3" i="79" s="1"/>
  <c r="U5" i="79"/>
  <c r="U3" i="79"/>
  <c r="AD9" i="79"/>
  <c r="AA3" i="79"/>
  <c r="AD3" i="79" s="1"/>
  <c r="R10" i="79"/>
  <c r="S10" i="79"/>
  <c r="U10" i="79"/>
  <c r="R11" i="79"/>
  <c r="S11" i="79"/>
  <c r="U11" i="79"/>
  <c r="Y3" i="79"/>
  <c r="S12" i="79"/>
  <c r="L3" i="79"/>
  <c r="M23" i="79"/>
  <c r="P23" i="79" s="1"/>
  <c r="T23" i="79"/>
  <c r="W23" i="79" s="1"/>
  <c r="AD29" i="79"/>
  <c r="N23" i="79"/>
  <c r="AD31" i="79"/>
  <c r="U32" i="79"/>
  <c r="V5" i="79"/>
  <c r="O3" i="79"/>
  <c r="C6" i="78"/>
  <c r="D6" i="78" s="1"/>
  <c r="C30" i="85"/>
  <c r="C30" i="37"/>
  <c r="U36" i="37"/>
  <c r="W36" i="37"/>
  <c r="S36" i="37"/>
  <c r="AB31" i="37"/>
  <c r="W31" i="37"/>
  <c r="AA23" i="37"/>
  <c r="U23" i="37"/>
  <c r="F77" i="37"/>
  <c r="G77" i="37" s="1"/>
  <c r="F21" i="37"/>
  <c r="AA21" i="37" s="1"/>
  <c r="H21" i="37"/>
  <c r="J21" i="37"/>
  <c r="H19" i="37"/>
  <c r="AB19" i="37" s="1"/>
  <c r="F75" i="37"/>
  <c r="G75" i="37" s="1"/>
  <c r="J19" i="37"/>
  <c r="F19" i="37"/>
  <c r="S19" i="37" s="1"/>
  <c r="F17" i="37"/>
  <c r="F73" i="37"/>
  <c r="G73" i="37" s="1"/>
  <c r="H17" i="37"/>
  <c r="U17" i="37" s="1"/>
  <c r="J17" i="37"/>
  <c r="W17" i="37" s="1"/>
  <c r="AC17" i="37"/>
  <c r="K4" i="4"/>
  <c r="B46" i="48" s="1"/>
  <c r="B4" i="72" s="1"/>
  <c r="AC15" i="37"/>
  <c r="AA11" i="37"/>
  <c r="W11" i="37"/>
  <c r="C23" i="12"/>
  <c r="N48" i="35"/>
  <c r="O48" i="35" s="1"/>
  <c r="K58" i="21"/>
  <c r="L58" i="21" s="1"/>
  <c r="M58" i="21" s="1"/>
  <c r="N58" i="21" s="1"/>
  <c r="O58" i="21" s="1"/>
  <c r="F59" i="34"/>
  <c r="G59" i="34" s="1"/>
  <c r="H59" i="34" s="1"/>
  <c r="I59" i="34" s="1"/>
  <c r="J59" i="34" s="1"/>
  <c r="K59" i="34" s="1"/>
  <c r="L59" i="34" s="1"/>
  <c r="M59" i="34" s="1"/>
  <c r="N59" i="34" s="1"/>
  <c r="O59" i="34" s="1"/>
  <c r="O23" i="43"/>
  <c r="A1" i="79"/>
  <c r="P26" i="43"/>
  <c r="P29" i="43"/>
  <c r="M47" i="9"/>
  <c r="C7" i="40"/>
  <c r="C63" i="40" s="1"/>
  <c r="C7" i="33"/>
  <c r="C58" i="33" s="1"/>
  <c r="C42" i="1"/>
  <c r="C7" i="36"/>
  <c r="C46" i="36" s="1"/>
  <c r="C7" i="37"/>
  <c r="C52" i="37" s="1"/>
  <c r="B12" i="70"/>
  <c r="B11" i="70"/>
  <c r="B9" i="70"/>
  <c r="B10" i="70"/>
  <c r="B8" i="70"/>
  <c r="B7" i="70"/>
  <c r="F64" i="67"/>
  <c r="F71" i="67"/>
  <c r="J53" i="67"/>
  <c r="I54" i="67"/>
  <c r="J57" i="67"/>
  <c r="J55" i="67" s="1"/>
  <c r="J58" i="67" s="1"/>
  <c r="Q50" i="67" s="1"/>
  <c r="L56" i="67"/>
  <c r="J60" i="67"/>
  <c r="Q48" i="67" s="1"/>
  <c r="L57" i="67"/>
  <c r="J59" i="67"/>
  <c r="L60" i="67"/>
  <c r="B13" i="70"/>
  <c r="F64" i="15"/>
  <c r="B20" i="31"/>
  <c r="B21" i="31" s="1"/>
  <c r="C47" i="68"/>
  <c r="D45" i="68" s="1"/>
  <c r="C29" i="68"/>
  <c r="D27" i="68" s="1"/>
  <c r="F45" i="68"/>
  <c r="F45" i="69"/>
  <c r="C47" i="69"/>
  <c r="D45" i="69" s="1"/>
  <c r="C29" i="69"/>
  <c r="D27" i="69" s="1"/>
  <c r="Q71" i="15"/>
  <c r="F71" i="15"/>
  <c r="C9" i="69"/>
  <c r="C9" i="68"/>
  <c r="L59" i="67"/>
  <c r="M59" i="67"/>
  <c r="N59" i="67"/>
  <c r="L58" i="67"/>
  <c r="F66" i="67"/>
  <c r="F65" i="15"/>
  <c r="F66" i="15"/>
  <c r="C27" i="67"/>
  <c r="I1" i="73"/>
  <c r="B39" i="1" s="1"/>
  <c r="M7" i="67"/>
  <c r="J6" i="67" s="1"/>
  <c r="F50" i="67"/>
  <c r="F50" i="15"/>
  <c r="M7" i="15"/>
  <c r="J6" i="15" s="1"/>
  <c r="C27" i="15"/>
  <c r="F68" i="15"/>
  <c r="F51" i="15"/>
  <c r="L58" i="15"/>
  <c r="F65" i="67"/>
  <c r="Q71" i="67"/>
  <c r="F68" i="67"/>
  <c r="L56" i="15"/>
  <c r="F51"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16" i="67"/>
  <c r="C16" i="15"/>
  <c r="G1" i="73"/>
  <c r="AB17" i="37" l="1"/>
  <c r="D51" i="71"/>
  <c r="C52" i="71"/>
  <c r="C86" i="71"/>
  <c r="D86" i="71" s="1"/>
  <c r="D87" i="71"/>
  <c r="T60" i="71"/>
  <c r="D60" i="71"/>
  <c r="AA38" i="40"/>
  <c r="S38" i="40"/>
  <c r="S12" i="37"/>
  <c r="AA12" i="37"/>
  <c r="AA24" i="35"/>
  <c r="S24" i="35"/>
  <c r="AB14" i="34"/>
  <c r="U14" i="34"/>
  <c r="AA26" i="33"/>
  <c r="S26" i="33"/>
  <c r="AB28" i="21"/>
  <c r="U28" i="21"/>
  <c r="AC44" i="33"/>
  <c r="W44" i="33"/>
  <c r="AA13" i="34"/>
  <c r="S13" i="34"/>
  <c r="D121" i="9"/>
  <c r="D7" i="52" s="1"/>
  <c r="K120" i="9"/>
  <c r="D6" i="52"/>
  <c r="AC30" i="40"/>
  <c r="W30" i="40"/>
  <c r="U14" i="33"/>
  <c r="AB14" i="33"/>
  <c r="U12" i="33"/>
  <c r="AB12" i="33"/>
  <c r="U9" i="35"/>
  <c r="AB9" i="35"/>
  <c r="W9" i="35"/>
  <c r="AC9" i="35"/>
  <c r="AA27" i="34"/>
  <c r="S27" i="34"/>
  <c r="U26" i="33"/>
  <c r="AB26" i="33"/>
  <c r="AC28" i="21"/>
  <c r="W28" i="21"/>
  <c r="B34" i="72"/>
  <c r="D17" i="53"/>
  <c r="B36" i="72" s="1"/>
  <c r="AA19" i="37"/>
  <c r="AZ178" i="3"/>
  <c r="AZ173" i="3"/>
  <c r="AZ121" i="3"/>
  <c r="AZ240" i="3"/>
  <c r="AZ238" i="3"/>
  <c r="AZ216" i="3"/>
  <c r="AZ211" i="3"/>
  <c r="AZ397" i="3"/>
  <c r="AZ350" i="3"/>
  <c r="AZ316" i="3"/>
  <c r="AZ471" i="3"/>
  <c r="AZ460" i="3"/>
  <c r="AZ400" i="3"/>
  <c r="AZ566" i="3"/>
  <c r="AB38" i="40"/>
  <c r="U38" i="40"/>
  <c r="AB12" i="37"/>
  <c r="U12" i="37"/>
  <c r="AA14" i="34"/>
  <c r="S14" i="34"/>
  <c r="AC35" i="39"/>
  <c r="W35" i="39"/>
  <c r="AB30" i="33"/>
  <c r="U30" i="33"/>
  <c r="U46" i="33"/>
  <c r="AB46" i="33"/>
  <c r="AB30" i="40"/>
  <c r="U30" i="40"/>
  <c r="AZ545" i="3"/>
  <c r="W14" i="33"/>
  <c r="AC14" i="33"/>
  <c r="S12" i="33"/>
  <c r="AA12" i="33"/>
  <c r="AC12" i="33"/>
  <c r="W12" i="33"/>
  <c r="S9" i="35"/>
  <c r="AA9" i="35"/>
  <c r="W27" i="34"/>
  <c r="AC27" i="34"/>
  <c r="AC26" i="33"/>
  <c r="W26" i="33"/>
  <c r="F7" i="35"/>
  <c r="J7" i="35"/>
  <c r="C70" i="71"/>
  <c r="D70" i="71" s="1"/>
  <c r="D71" i="71"/>
  <c r="G5" i="3"/>
  <c r="B3" i="3" s="1"/>
  <c r="E110" i="3" s="1"/>
  <c r="AZ467" i="3"/>
  <c r="E422" i="3"/>
  <c r="E533" i="3"/>
  <c r="AZ512" i="3"/>
  <c r="AZ518" i="3"/>
  <c r="AZ542" i="3"/>
  <c r="AZ568" i="3"/>
  <c r="W44" i="39"/>
  <c r="AC44" i="39"/>
  <c r="AB39" i="37"/>
  <c r="U39" i="37"/>
  <c r="AC39" i="37"/>
  <c r="W39" i="37"/>
  <c r="AZ500" i="3"/>
  <c r="AB12" i="40"/>
  <c r="U12" i="40"/>
  <c r="AC25" i="37"/>
  <c r="W25" i="37"/>
  <c r="U28" i="37"/>
  <c r="AB28" i="37"/>
  <c r="U13" i="35"/>
  <c r="AB13" i="35"/>
  <c r="S29" i="34"/>
  <c r="AA29" i="34"/>
  <c r="S29" i="33"/>
  <c r="AA29" i="33"/>
  <c r="S31" i="21"/>
  <c r="AA31" i="21"/>
  <c r="U31" i="21"/>
  <c r="AB31" i="21"/>
  <c r="AA31" i="40"/>
  <c r="S31" i="40"/>
  <c r="E111" i="3"/>
  <c r="E120" i="3"/>
  <c r="E287" i="3"/>
  <c r="C56" i="71"/>
  <c r="D55" i="71"/>
  <c r="E45" i="3"/>
  <c r="E25" i="3"/>
  <c r="E483" i="3"/>
  <c r="E448" i="3"/>
  <c r="E581" i="3"/>
  <c r="AB44" i="39"/>
  <c r="U44" i="39"/>
  <c r="AA39" i="37"/>
  <c r="S39" i="37"/>
  <c r="AC9" i="36"/>
  <c r="W9" i="36"/>
  <c r="AC30" i="21"/>
  <c r="W30" i="21"/>
  <c r="W12" i="40"/>
  <c r="AC12" i="40"/>
  <c r="U25" i="37"/>
  <c r="AB25" i="37"/>
  <c r="AA28" i="37"/>
  <c r="S28" i="37"/>
  <c r="AA13" i="35"/>
  <c r="S13" i="35"/>
  <c r="AC29" i="34"/>
  <c r="W29" i="34"/>
  <c r="U29" i="33"/>
  <c r="AB29" i="33"/>
  <c r="AC31" i="21"/>
  <c r="W31" i="21"/>
  <c r="U14" i="21"/>
  <c r="AB14" i="21"/>
  <c r="F30" i="6"/>
  <c r="U31" i="40"/>
  <c r="AB31" i="40"/>
  <c r="AB33" i="37"/>
  <c r="U33" i="37"/>
  <c r="U15" i="37"/>
  <c r="L57" i="15"/>
  <c r="J57" i="15"/>
  <c r="J55" i="15" s="1"/>
  <c r="J58" i="15" s="1"/>
  <c r="Q50" i="15" s="1"/>
  <c r="M59" i="15"/>
  <c r="L59" i="15"/>
  <c r="Q74" i="15" s="1"/>
  <c r="H7" i="35"/>
  <c r="AB7" i="35" s="1"/>
  <c r="T38" i="35" s="1"/>
  <c r="G38" i="35" s="1"/>
  <c r="C49" i="67"/>
  <c r="C61" i="67" s="1"/>
  <c r="H30" i="85"/>
  <c r="J30" i="85"/>
  <c r="F30" i="85"/>
  <c r="C23" i="43"/>
  <c r="E38" i="77"/>
  <c r="E39" i="77" s="1"/>
  <c r="C40" i="77" s="1"/>
  <c r="E29" i="77"/>
  <c r="E26" i="77"/>
  <c r="S34" i="36"/>
  <c r="AA34" i="36"/>
  <c r="S23" i="35"/>
  <c r="AA23" i="35"/>
  <c r="U23" i="35"/>
  <c r="AB23" i="35"/>
  <c r="AB9" i="33"/>
  <c r="U9" i="33"/>
  <c r="AC46" i="21"/>
  <c r="W46" i="21"/>
  <c r="AA27" i="21"/>
  <c r="S27" i="21"/>
  <c r="W27" i="21"/>
  <c r="AC27" i="21"/>
  <c r="E14" i="6"/>
  <c r="E13" i="6"/>
  <c r="E8" i="6"/>
  <c r="E15" i="6"/>
  <c r="E10" i="6"/>
  <c r="E12" i="6"/>
  <c r="E11" i="6"/>
  <c r="AC47" i="34"/>
  <c r="W47" i="34"/>
  <c r="U47" i="34"/>
  <c r="AB47" i="34"/>
  <c r="W45" i="34"/>
  <c r="AC45" i="34"/>
  <c r="S31" i="34"/>
  <c r="AA31" i="34"/>
  <c r="AA44" i="21"/>
  <c r="S44" i="21"/>
  <c r="AC13" i="21"/>
  <c r="W13" i="21"/>
  <c r="G30" i="6"/>
  <c r="G31" i="6" s="1"/>
  <c r="E28" i="6"/>
  <c r="AZ586" i="3"/>
  <c r="D127" i="9"/>
  <c r="D13" i="52" s="1"/>
  <c r="D12" i="52"/>
  <c r="T20" i="71"/>
  <c r="D20" i="71"/>
  <c r="U20" i="71" s="1"/>
  <c r="C19" i="71"/>
  <c r="L60" i="15"/>
  <c r="Q66" i="15" s="1"/>
  <c r="I54" i="15"/>
  <c r="J53" i="15"/>
  <c r="F1" i="15" s="1"/>
  <c r="F7" i="34"/>
  <c r="S7" i="34" s="1"/>
  <c r="J7" i="21"/>
  <c r="C12" i="12"/>
  <c r="S15" i="37"/>
  <c r="S21" i="37"/>
  <c r="H30" i="37"/>
  <c r="F30" i="37"/>
  <c r="J30" i="37"/>
  <c r="C26" i="71"/>
  <c r="D26" i="71" s="1"/>
  <c r="D27" i="71"/>
  <c r="T36" i="71"/>
  <c r="D36" i="71"/>
  <c r="D52" i="85"/>
  <c r="E52" i="85" s="1"/>
  <c r="F52" i="85" s="1"/>
  <c r="G52" i="85" s="1"/>
  <c r="H52" i="85" s="1"/>
  <c r="I52" i="85" s="1"/>
  <c r="J52" i="85" s="1"/>
  <c r="K52" i="85" s="1"/>
  <c r="L52" i="85" s="1"/>
  <c r="M52" i="85" s="1"/>
  <c r="N52" i="85" s="1"/>
  <c r="O52" i="85" s="1"/>
  <c r="M13" i="1"/>
  <c r="H16" i="1"/>
  <c r="G16" i="1"/>
  <c r="AB34" i="36"/>
  <c r="U34" i="36"/>
  <c r="AC23" i="35"/>
  <c r="W23" i="35"/>
  <c r="AA9" i="33"/>
  <c r="S9" i="33"/>
  <c r="AC9" i="33"/>
  <c r="W9" i="33"/>
  <c r="U46" i="21"/>
  <c r="AB46" i="21"/>
  <c r="AB27" i="21"/>
  <c r="U27" i="21"/>
  <c r="AZ585" i="3"/>
  <c r="BA5" i="3"/>
  <c r="E27" i="6" s="1"/>
  <c r="S47" i="34"/>
  <c r="AA47" i="34"/>
  <c r="AA45" i="34"/>
  <c r="S45" i="34"/>
  <c r="U45" i="34"/>
  <c r="AB45" i="34"/>
  <c r="U31" i="34"/>
  <c r="AB31" i="34"/>
  <c r="U44" i="21"/>
  <c r="AB44" i="21"/>
  <c r="AB13" i="21"/>
  <c r="U13" i="21"/>
  <c r="E69" i="39"/>
  <c r="F67" i="39"/>
  <c r="Q16" i="1"/>
  <c r="D20" i="53"/>
  <c r="B40" i="72" s="1"/>
  <c r="B38" i="72"/>
  <c r="I121" i="43"/>
  <c r="J121" i="43" s="1"/>
  <c r="K121" i="43" s="1"/>
  <c r="L121" i="43" s="1"/>
  <c r="M121" i="43" s="1"/>
  <c r="B119" i="43"/>
  <c r="C119" i="43" s="1"/>
  <c r="G121" i="43"/>
  <c r="H121" i="43" s="1"/>
  <c r="I120" i="43"/>
  <c r="J120" i="43" s="1"/>
  <c r="K120" i="43" s="1"/>
  <c r="L120" i="43" s="1"/>
  <c r="M120" i="43" s="1"/>
  <c r="B120" i="43"/>
  <c r="C120" i="43" s="1"/>
  <c r="I119" i="43"/>
  <c r="J119" i="43" s="1"/>
  <c r="K119" i="43" s="1"/>
  <c r="L119" i="43" s="1"/>
  <c r="M119" i="43" s="1"/>
  <c r="D121" i="43"/>
  <c r="E121" i="43" s="1"/>
  <c r="F121" i="43" s="1"/>
  <c r="D118" i="43"/>
  <c r="E118" i="43" s="1"/>
  <c r="F118" i="43" s="1"/>
  <c r="G118" i="43" s="1"/>
  <c r="H118" i="43" s="1"/>
  <c r="D119" i="43"/>
  <c r="E119" i="43" s="1"/>
  <c r="F119" i="43" s="1"/>
  <c r="G119" i="43" s="1"/>
  <c r="H119" i="43" s="1"/>
  <c r="D122" i="43"/>
  <c r="E122" i="43" s="1"/>
  <c r="F122" i="43" s="1"/>
  <c r="G122" i="43" s="1"/>
  <c r="H122" i="43" s="1"/>
  <c r="B122" i="43"/>
  <c r="C122" i="43" s="1"/>
  <c r="I122" i="43"/>
  <c r="J122" i="43" s="1"/>
  <c r="K122" i="43" s="1"/>
  <c r="L122" i="43" s="1"/>
  <c r="M122" i="43" s="1"/>
  <c r="D120" i="43"/>
  <c r="E120" i="43" s="1"/>
  <c r="F120" i="43" s="1"/>
  <c r="G120" i="43" s="1"/>
  <c r="H120" i="43" s="1"/>
  <c r="I118" i="43"/>
  <c r="J118" i="43" s="1"/>
  <c r="K118" i="43" s="1"/>
  <c r="L118" i="43" s="1"/>
  <c r="M118" i="43" s="1"/>
  <c r="B121" i="43"/>
  <c r="C121" i="43" s="1"/>
  <c r="B118" i="43"/>
  <c r="D26" i="43"/>
  <c r="C25" i="43" s="1"/>
  <c r="V12" i="71"/>
  <c r="E11" i="71"/>
  <c r="E10" i="71" s="1"/>
  <c r="E9" i="71" s="1"/>
  <c r="E8" i="71" s="1"/>
  <c r="E7" i="71" s="1"/>
  <c r="E6" i="71" s="1"/>
  <c r="E5" i="71" s="1"/>
  <c r="B40" i="1"/>
  <c r="L36" i="43" s="1"/>
  <c r="W21" i="37"/>
  <c r="AC21" i="37"/>
  <c r="AB21" i="37"/>
  <c r="U21" i="37"/>
  <c r="U19" i="37"/>
  <c r="AC19" i="37"/>
  <c r="W19" i="37"/>
  <c r="L46" i="67"/>
  <c r="AA17" i="37"/>
  <c r="S17" i="37"/>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J7" i="34"/>
  <c r="H7" i="34"/>
  <c r="H7" i="21"/>
  <c r="F7" i="21"/>
  <c r="W7" i="35"/>
  <c r="AC7" i="35"/>
  <c r="V38" i="35" s="1"/>
  <c r="I38" i="35" s="1"/>
  <c r="D52" i="37"/>
  <c r="E52" i="37" s="1"/>
  <c r="F52" i="37" s="1"/>
  <c r="G52" i="37" s="1"/>
  <c r="H52" i="37" s="1"/>
  <c r="I52" i="37" s="1"/>
  <c r="J52" i="37" s="1"/>
  <c r="K52" i="37" s="1"/>
  <c r="L52" i="37" s="1"/>
  <c r="M52" i="37" s="1"/>
  <c r="N52" i="37" s="1"/>
  <c r="O52" i="37" s="1"/>
  <c r="C24" i="12"/>
  <c r="C48" i="69"/>
  <c r="C48" i="68"/>
  <c r="C77" i="9"/>
  <c r="C74" i="9" s="1"/>
  <c r="C28" i="67"/>
  <c r="C28" i="15"/>
  <c r="C30" i="68"/>
  <c r="C30" i="69"/>
  <c r="C31" i="12"/>
  <c r="C13" i="12"/>
  <c r="C36" i="11"/>
  <c r="C65" i="40"/>
  <c r="D63" i="40"/>
  <c r="AA7" i="35"/>
  <c r="R38" i="35" s="1"/>
  <c r="S7" i="35"/>
  <c r="W7" i="21"/>
  <c r="AC7" i="21"/>
  <c r="V48" i="21" s="1"/>
  <c r="I48" i="21" s="1"/>
  <c r="U7" i="35"/>
  <c r="J18" i="15"/>
  <c r="J19" i="15"/>
  <c r="J18" i="67"/>
  <c r="J19" i="67"/>
  <c r="Q73" i="15"/>
  <c r="Q60" i="15"/>
  <c r="C49" i="15"/>
  <c r="M11" i="67"/>
  <c r="J10" i="67" s="1"/>
  <c r="J5" i="67" s="1"/>
  <c r="M11" i="15"/>
  <c r="J10" i="15" s="1"/>
  <c r="J5" i="15" s="1"/>
  <c r="F11" i="67"/>
  <c r="C53" i="67" s="1"/>
  <c r="F11" i="15"/>
  <c r="C53" i="15" s="1"/>
  <c r="Q74" i="67"/>
  <c r="Q61" i="67"/>
  <c r="Q60" i="67"/>
  <c r="Q73" i="67"/>
  <c r="Q66" i="67"/>
  <c r="Q57" i="67"/>
  <c r="Q52" i="67"/>
  <c r="F1" i="67"/>
  <c r="AE6" i="1"/>
  <c r="E32" i="77" l="1"/>
  <c r="E415" i="3"/>
  <c r="E462" i="3"/>
  <c r="E164" i="3"/>
  <c r="E36" i="3"/>
  <c r="E251" i="3"/>
  <c r="E301" i="3"/>
  <c r="E99" i="3"/>
  <c r="E416" i="3"/>
  <c r="E433" i="3"/>
  <c r="E382" i="3"/>
  <c r="D52" i="71"/>
  <c r="T52" i="71"/>
  <c r="AZ5" i="3"/>
  <c r="E540" i="3"/>
  <c r="E566" i="3"/>
  <c r="E434" i="3"/>
  <c r="E459" i="3"/>
  <c r="E473" i="3"/>
  <c r="E210" i="3"/>
  <c r="E180" i="3"/>
  <c r="E30" i="3"/>
  <c r="E39" i="3"/>
  <c r="E249" i="3"/>
  <c r="E260" i="3"/>
  <c r="E294" i="3"/>
  <c r="E116" i="3"/>
  <c r="E84" i="3"/>
  <c r="E107" i="3"/>
  <c r="E505" i="3"/>
  <c r="E419" i="3"/>
  <c r="E427" i="3"/>
  <c r="E455" i="3"/>
  <c r="E331" i="3"/>
  <c r="E216" i="3"/>
  <c r="E40" i="3"/>
  <c r="E223" i="3"/>
  <c r="E259" i="3"/>
  <c r="E144" i="3"/>
  <c r="E85" i="3"/>
  <c r="D56" i="71"/>
  <c r="T56" i="71"/>
  <c r="E329" i="3"/>
  <c r="E188" i="3"/>
  <c r="E393" i="3"/>
  <c r="E564" i="3"/>
  <c r="E507" i="3"/>
  <c r="E440" i="3"/>
  <c r="E376" i="3"/>
  <c r="J6" i="3"/>
  <c r="E401" i="3"/>
  <c r="E119" i="3"/>
  <c r="E242" i="3"/>
  <c r="E276" i="3"/>
  <c r="E333" i="3"/>
  <c r="L6" i="3"/>
  <c r="E43" i="3"/>
  <c r="E38" i="3"/>
  <c r="E170" i="3"/>
  <c r="E194" i="3"/>
  <c r="E219" i="3"/>
  <c r="E339" i="3"/>
  <c r="E392" i="3"/>
  <c r="E52" i="3"/>
  <c r="E232" i="3"/>
  <c r="E370" i="3"/>
  <c r="E62" i="3"/>
  <c r="E326" i="3"/>
  <c r="E165" i="3"/>
  <c r="E149" i="3"/>
  <c r="E141" i="3"/>
  <c r="AD6" i="3"/>
  <c r="E552" i="3"/>
  <c r="E464" i="3"/>
  <c r="E398" i="3"/>
  <c r="E582" i="3"/>
  <c r="E460" i="3"/>
  <c r="E436" i="3"/>
  <c r="E90" i="3"/>
  <c r="E131" i="3"/>
  <c r="E155" i="3"/>
  <c r="E297" i="3"/>
  <c r="E348" i="3"/>
  <c r="E375" i="3"/>
  <c r="E58" i="3"/>
  <c r="E488" i="3"/>
  <c r="E425" i="3"/>
  <c r="E64" i="3"/>
  <c r="E103" i="3"/>
  <c r="E142" i="3"/>
  <c r="E267" i="3"/>
  <c r="E300" i="3"/>
  <c r="E310" i="3"/>
  <c r="E23" i="3"/>
  <c r="E67" i="3"/>
  <c r="E233" i="3"/>
  <c r="E381" i="3"/>
  <c r="E63" i="3"/>
  <c r="E118" i="3"/>
  <c r="E283" i="3"/>
  <c r="E513" i="3"/>
  <c r="AF6" i="3"/>
  <c r="E158" i="3"/>
  <c r="E524" i="3"/>
  <c r="E453" i="3"/>
  <c r="E314" i="3"/>
  <c r="E193" i="3"/>
  <c r="E527" i="3"/>
  <c r="E562" i="3"/>
  <c r="E450" i="3"/>
  <c r="E72" i="3"/>
  <c r="E150" i="3"/>
  <c r="E351" i="3"/>
  <c r="E31" i="3"/>
  <c r="E549" i="3"/>
  <c r="E271" i="3"/>
  <c r="E585" i="3"/>
  <c r="E478" i="3"/>
  <c r="E477" i="3"/>
  <c r="AS6" i="3"/>
  <c r="E447" i="3"/>
  <c r="E162" i="3"/>
  <c r="E384" i="3"/>
  <c r="E441" i="3"/>
  <c r="E530" i="3"/>
  <c r="E305" i="3"/>
  <c r="E388" i="3"/>
  <c r="E410" i="3"/>
  <c r="E143" i="3"/>
  <c r="E561" i="3"/>
  <c r="E439" i="3"/>
  <c r="E231" i="3"/>
  <c r="E185" i="3"/>
  <c r="E528" i="3"/>
  <c r="E361" i="3"/>
  <c r="E134" i="3"/>
  <c r="E350" i="3"/>
  <c r="E495" i="3"/>
  <c r="E399" i="3"/>
  <c r="E156" i="3"/>
  <c r="E262" i="3"/>
  <c r="E177" i="3"/>
  <c r="Q6" i="3"/>
  <c r="E481" i="3"/>
  <c r="E344" i="3"/>
  <c r="E429" i="3"/>
  <c r="E55" i="3"/>
  <c r="E203" i="3"/>
  <c r="E274" i="3"/>
  <c r="E580" i="3"/>
  <c r="I6" i="3"/>
  <c r="E443" i="3"/>
  <c r="E404" i="3"/>
  <c r="E121" i="3"/>
  <c r="E295" i="3"/>
  <c r="E334" i="3"/>
  <c r="E480" i="3"/>
  <c r="E526" i="3"/>
  <c r="E322" i="3"/>
  <c r="E239" i="3"/>
  <c r="E229" i="3"/>
  <c r="E358" i="3"/>
  <c r="E551" i="3"/>
  <c r="E407" i="3"/>
  <c r="E130" i="3"/>
  <c r="E117" i="3"/>
  <c r="E61" i="3"/>
  <c r="E518" i="3"/>
  <c r="E336" i="3"/>
  <c r="E16" i="3"/>
  <c r="E105" i="3"/>
  <c r="E493" i="3"/>
  <c r="E543" i="3"/>
  <c r="E486" i="3"/>
  <c r="E490" i="3"/>
  <c r="AH6" i="3"/>
  <c r="E498" i="3"/>
  <c r="E463" i="3"/>
  <c r="E178" i="3"/>
  <c r="E202" i="3"/>
  <c r="E226" i="3"/>
  <c r="E346" i="3"/>
  <c r="E372" i="3"/>
  <c r="E60" i="3"/>
  <c r="E15" i="3"/>
  <c r="E79" i="3"/>
  <c r="E100" i="3"/>
  <c r="E137" i="3"/>
  <c r="E234" i="3"/>
  <c r="E299" i="3"/>
  <c r="E325" i="3"/>
  <c r="AQ6" i="3"/>
  <c r="E206" i="3"/>
  <c r="E50" i="3"/>
  <c r="E244" i="3"/>
  <c r="E167" i="3"/>
  <c r="E312" i="3"/>
  <c r="E542" i="3"/>
  <c r="E421" i="3"/>
  <c r="E487" i="3"/>
  <c r="E374" i="3"/>
  <c r="E500" i="3"/>
  <c r="E413" i="3"/>
  <c r="E520" i="3"/>
  <c r="E57" i="3"/>
  <c r="E187" i="3"/>
  <c r="E240" i="3"/>
  <c r="E378" i="3"/>
  <c r="E504" i="3"/>
  <c r="E467" i="3"/>
  <c r="E160" i="3"/>
  <c r="E200" i="3"/>
  <c r="E371" i="3"/>
  <c r="E492" i="3"/>
  <c r="E33" i="3"/>
  <c r="E184" i="3"/>
  <c r="E355" i="3"/>
  <c r="E68" i="3"/>
  <c r="E81" i="3"/>
  <c r="E309" i="3"/>
  <c r="E21" i="3"/>
  <c r="E80" i="3"/>
  <c r="E265" i="3"/>
  <c r="E253" i="3"/>
  <c r="E458" i="3"/>
  <c r="E457" i="3"/>
  <c r="E571" i="3"/>
  <c r="E279" i="3"/>
  <c r="E318" i="3"/>
  <c r="E567" i="3"/>
  <c r="E269" i="3"/>
  <c r="E515" i="3"/>
  <c r="E414" i="3"/>
  <c r="E476" i="3"/>
  <c r="E27" i="3"/>
  <c r="E186" i="3"/>
  <c r="E44" i="3"/>
  <c r="E175" i="3"/>
  <c r="E343" i="3"/>
  <c r="E508" i="3"/>
  <c r="E555" i="3"/>
  <c r="E337" i="3"/>
  <c r="E270" i="3"/>
  <c r="AR6" i="3"/>
  <c r="E538" i="3"/>
  <c r="E380" i="3"/>
  <c r="E261" i="3"/>
  <c r="E183" i="3"/>
  <c r="E503" i="3"/>
  <c r="E91" i="3"/>
  <c r="E586" i="3"/>
  <c r="E124" i="3"/>
  <c r="E347" i="3"/>
  <c r="E238" i="3"/>
  <c r="E128" i="3"/>
  <c r="E330" i="3"/>
  <c r="E437" i="3"/>
  <c r="E424" i="3"/>
  <c r="AE6" i="3"/>
  <c r="E496" i="3"/>
  <c r="E73" i="3"/>
  <c r="E256" i="3"/>
  <c r="E394" i="3"/>
  <c r="E32" i="3"/>
  <c r="E236" i="3"/>
  <c r="AG6" i="3"/>
  <c r="P6" i="3"/>
  <c r="E558" i="3"/>
  <c r="E444" i="3"/>
  <c r="E88" i="3"/>
  <c r="E166" i="3"/>
  <c r="E316" i="3"/>
  <c r="E217" i="3"/>
  <c r="E268" i="3"/>
  <c r="AJ6" i="3"/>
  <c r="E516" i="3"/>
  <c r="E396" i="3"/>
  <c r="E151" i="3"/>
  <c r="E559" i="3"/>
  <c r="V6" i="3"/>
  <c r="E320" i="3"/>
  <c r="E230" i="3"/>
  <c r="E114" i="3"/>
  <c r="E395" i="3"/>
  <c r="E550" i="3"/>
  <c r="E290" i="3"/>
  <c r="E245" i="3"/>
  <c r="E578" i="3"/>
  <c r="E293" i="3"/>
  <c r="E583" i="3"/>
  <c r="E576" i="3"/>
  <c r="E569" i="3"/>
  <c r="E519" i="3"/>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89" i="3"/>
  <c r="E364" i="3"/>
  <c r="E176" i="3"/>
  <c r="E22" i="3"/>
  <c r="E536" i="3"/>
  <c r="E212" i="3"/>
  <c r="E286" i="3"/>
  <c r="E499" i="3"/>
  <c r="E502" i="3"/>
  <c r="E466" i="3"/>
  <c r="E430" i="3"/>
  <c r="E255" i="3"/>
  <c r="AP6" i="3"/>
  <c r="E517" i="3"/>
  <c r="E491" i="3"/>
  <c r="E479" i="3"/>
  <c r="E37" i="3"/>
  <c r="E152" i="3"/>
  <c r="E192" i="3"/>
  <c r="E241" i="3"/>
  <c r="E363" i="3"/>
  <c r="E389" i="3"/>
  <c r="E76" i="3"/>
  <c r="E409" i="3"/>
  <c r="E446" i="3"/>
  <c r="E98" i="3"/>
  <c r="E138" i="3"/>
  <c r="E163" i="3"/>
  <c r="E209" i="3"/>
  <c r="E307" i="3"/>
  <c r="E354" i="3"/>
  <c r="E66" i="3"/>
  <c r="E48" i="3"/>
  <c r="E127" i="3"/>
  <c r="E284" i="3"/>
  <c r="Y6" i="3"/>
  <c r="E19" i="3"/>
  <c r="E179" i="3"/>
  <c r="E323" i="3"/>
  <c r="E82" i="3"/>
  <c r="E102" i="3"/>
  <c r="E218" i="3"/>
  <c r="E101" i="3"/>
  <c r="E461" i="3"/>
  <c r="E352" i="3"/>
  <c r="E157" i="3"/>
  <c r="E313" i="3"/>
  <c r="E529" i="3"/>
  <c r="E438" i="3"/>
  <c r="W6" i="3"/>
  <c r="E471" i="3"/>
  <c r="E54" i="3"/>
  <c r="E208" i="3"/>
  <c r="E357" i="3"/>
  <c r="E93" i="3"/>
  <c r="E196" i="3"/>
  <c r="E145" i="3"/>
  <c r="U6" i="3"/>
  <c r="E548" i="3"/>
  <c r="E367" i="3"/>
  <c r="E403" i="3"/>
  <c r="E71" i="3"/>
  <c r="E126" i="3"/>
  <c r="E291" i="3"/>
  <c r="AM6" i="3"/>
  <c r="E53" i="3"/>
  <c r="E501" i="3"/>
  <c r="E426" i="3"/>
  <c r="O6" i="3"/>
  <c r="E359" i="3"/>
  <c r="E97" i="3"/>
  <c r="S6" i="3"/>
  <c r="E506" i="3"/>
  <c r="E338" i="3"/>
  <c r="E298" i="3"/>
  <c r="E237" i="3"/>
  <c r="E565" i="3"/>
  <c r="E17" i="3"/>
  <c r="E221" i="3"/>
  <c r="E159" i="3"/>
  <c r="E402" i="3"/>
  <c r="E353" i="3"/>
  <c r="AA6" i="3"/>
  <c r="E568" i="3"/>
  <c r="E545" i="3"/>
  <c r="E228" i="3"/>
  <c r="E133" i="3"/>
  <c r="E560" i="3"/>
  <c r="E406" i="3"/>
  <c r="E587" i="3"/>
  <c r="E468" i="3"/>
  <c r="E106" i="3"/>
  <c r="E171" i="3"/>
  <c r="E315" i="3"/>
  <c r="E74" i="3"/>
  <c r="E368" i="3"/>
  <c r="E204" i="3"/>
  <c r="Z6" i="3"/>
  <c r="E485" i="3"/>
  <c r="E345" i="3"/>
  <c r="E531" i="3"/>
  <c r="E28" i="3"/>
  <c r="E182" i="3"/>
  <c r="E273" i="3"/>
  <c r="E572" i="3"/>
  <c r="E125" i="3"/>
  <c r="E553" i="3"/>
  <c r="N6" i="3"/>
  <c r="E579" i="3"/>
  <c r="E247" i="3"/>
  <c r="E311" i="3"/>
  <c r="E570" i="3"/>
  <c r="AB6" i="3"/>
  <c r="E335" i="3"/>
  <c r="E189" i="3"/>
  <c r="E278" i="3"/>
  <c r="E172" i="3"/>
  <c r="E535" i="3"/>
  <c r="E135" i="3"/>
  <c r="E263" i="3"/>
  <c r="AI6" i="3"/>
  <c r="E246" i="3"/>
  <c r="E573" i="3"/>
  <c r="E511" i="3"/>
  <c r="E510" i="3"/>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4" i="3"/>
  <c r="E147" i="3"/>
  <c r="E340" i="3"/>
  <c r="E20" i="3"/>
  <c r="E308" i="3"/>
  <c r="E539" i="3"/>
  <c r="E148" i="3"/>
  <c r="E199" i="3"/>
  <c r="E575" i="3"/>
  <c r="R6" i="3"/>
  <c r="E442" i="3"/>
  <c r="E541" i="3"/>
  <c r="E449" i="3"/>
  <c r="I3" i="6"/>
  <c r="E554" i="3"/>
  <c r="E435" i="3"/>
  <c r="E417" i="3"/>
  <c r="E56" i="3"/>
  <c r="E95" i="3"/>
  <c r="E132" i="3"/>
  <c r="E258" i="3"/>
  <c r="E292" i="3"/>
  <c r="E349" i="3"/>
  <c r="E544" i="3"/>
  <c r="E59" i="3"/>
  <c r="E484" i="3"/>
  <c r="E47" i="3"/>
  <c r="E65" i="3"/>
  <c r="E195" i="3"/>
  <c r="E248" i="3"/>
  <c r="E266" i="3"/>
  <c r="E386" i="3"/>
  <c r="E584" i="3"/>
  <c r="E24" i="3"/>
  <c r="E87" i="3"/>
  <c r="E250" i="3"/>
  <c r="E341" i="3"/>
  <c r="E51" i="3"/>
  <c r="E154" i="3"/>
  <c r="E222" i="3"/>
  <c r="E373" i="3"/>
  <c r="E123" i="3"/>
  <c r="E113" i="3"/>
  <c r="E365" i="3"/>
  <c r="E122" i="3"/>
  <c r="E136" i="3"/>
  <c r="E306" i="3"/>
  <c r="E224" i="3"/>
  <c r="E532" i="3"/>
  <c r="E474" i="3"/>
  <c r="E288" i="3"/>
  <c r="E537" i="3"/>
  <c r="E475" i="3"/>
  <c r="E168" i="3"/>
  <c r="E257" i="3"/>
  <c r="E14" i="3"/>
  <c r="E397" i="3"/>
  <c r="E207" i="3"/>
  <c r="E379" i="3"/>
  <c r="E411" i="3"/>
  <c r="E432" i="3"/>
  <c r="E547" i="3"/>
  <c r="E546" i="3"/>
  <c r="E92" i="3"/>
  <c r="E272" i="3"/>
  <c r="E317" i="3"/>
  <c r="E29" i="3"/>
  <c r="E319" i="3"/>
  <c r="E153" i="3"/>
  <c r="E328" i="3"/>
  <c r="E574" i="3"/>
  <c r="E285" i="3"/>
  <c r="E390" i="3"/>
  <c r="E523" i="3"/>
  <c r="E418" i="3"/>
  <c r="E321" i="3"/>
  <c r="E169" i="3"/>
  <c r="E304" i="3"/>
  <c r="E213" i="3"/>
  <c r="E302" i="3"/>
  <c r="E254" i="3"/>
  <c r="E303" i="3"/>
  <c r="AN6" i="3"/>
  <c r="E280" i="3"/>
  <c r="E77" i="3"/>
  <c r="E181" i="3"/>
  <c r="AK6" i="3"/>
  <c r="E277" i="3"/>
  <c r="K6" i="3"/>
  <c r="E472" i="3"/>
  <c r="E465" i="3"/>
  <c r="E577" i="3"/>
  <c r="E454" i="3"/>
  <c r="E146" i="3"/>
  <c r="E214" i="3"/>
  <c r="E362" i="3"/>
  <c r="E227" i="3"/>
  <c r="E89" i="3"/>
  <c r="E327" i="3"/>
  <c r="AO6" i="3"/>
  <c r="E400" i="3"/>
  <c r="E557" i="3"/>
  <c r="E489" i="3"/>
  <c r="E70" i="3"/>
  <c r="E211" i="3"/>
  <c r="E377" i="3"/>
  <c r="E109" i="3"/>
  <c r="E366" i="3"/>
  <c r="E282" i="3"/>
  <c r="E509" i="3"/>
  <c r="E431" i="3"/>
  <c r="E201" i="3"/>
  <c r="E514" i="3"/>
  <c r="M6" i="3"/>
  <c r="E387" i="3"/>
  <c r="E215" i="3"/>
  <c r="E69" i="3"/>
  <c r="E563" i="3"/>
  <c r="E445" i="3"/>
  <c r="E161" i="3"/>
  <c r="E191" i="3"/>
  <c r="E423" i="3"/>
  <c r="E385" i="3"/>
  <c r="X6" i="3"/>
  <c r="E521" i="3"/>
  <c r="E46" i="3"/>
  <c r="E252" i="3"/>
  <c r="E264" i="3"/>
  <c r="E83" i="3"/>
  <c r="E108" i="3"/>
  <c r="E112" i="3"/>
  <c r="Q61" i="15"/>
  <c r="Q57" i="15"/>
  <c r="Q52" i="15"/>
  <c r="AA7" i="34"/>
  <c r="R49" i="34" s="1"/>
  <c r="J7" i="37"/>
  <c r="F7" i="33"/>
  <c r="J7" i="85"/>
  <c r="W7" i="85" s="1"/>
  <c r="C48" i="67"/>
  <c r="C66" i="67" s="1"/>
  <c r="E3" i="6"/>
  <c r="AY6" i="3"/>
  <c r="J7" i="36"/>
  <c r="F69" i="39"/>
  <c r="G67" i="39"/>
  <c r="J10" i="40"/>
  <c r="F10" i="40"/>
  <c r="H10" i="40"/>
  <c r="F10" i="39"/>
  <c r="H10" i="39"/>
  <c r="J10" i="39"/>
  <c r="AA30" i="37"/>
  <c r="S30" i="37"/>
  <c r="C18" i="71"/>
  <c r="D19" i="71"/>
  <c r="E57" i="40"/>
  <c r="E61" i="39"/>
  <c r="E64" i="39"/>
  <c r="E60" i="40"/>
  <c r="E58" i="40"/>
  <c r="E62" i="39"/>
  <c r="T9" i="43"/>
  <c r="V9" i="43" s="1"/>
  <c r="T12" i="43"/>
  <c r="V12" i="43" s="1"/>
  <c r="T3" i="43"/>
  <c r="V3" i="43" s="1"/>
  <c r="C33" i="43"/>
  <c r="C39" i="43"/>
  <c r="T11" i="43"/>
  <c r="V11" i="43" s="1"/>
  <c r="T14" i="43"/>
  <c r="V14" i="43" s="1"/>
  <c r="T4" i="43"/>
  <c r="V4" i="43" s="1"/>
  <c r="T5" i="43"/>
  <c r="V5" i="43" s="1"/>
  <c r="C41" i="43"/>
  <c r="C38" i="43"/>
  <c r="T13" i="43"/>
  <c r="V13" i="43" s="1"/>
  <c r="T16" i="43"/>
  <c r="V16" i="43" s="1"/>
  <c r="T8" i="43"/>
  <c r="V8" i="43" s="1"/>
  <c r="T6" i="43"/>
  <c r="V6" i="43" s="1"/>
  <c r="C37" i="43"/>
  <c r="T15" i="43"/>
  <c r="V15" i="43" s="1"/>
  <c r="T7" i="43"/>
  <c r="V7" i="43" s="1"/>
  <c r="T10" i="43"/>
  <c r="V10" i="43" s="1"/>
  <c r="T2" i="43"/>
  <c r="V2" i="43" s="1"/>
  <c r="C40" i="43"/>
  <c r="C42" i="43"/>
  <c r="AC30" i="85"/>
  <c r="W30" i="85"/>
  <c r="J7" i="33"/>
  <c r="AC7" i="33" s="1"/>
  <c r="V48" i="33" s="1"/>
  <c r="I48" i="33" s="1"/>
  <c r="H7" i="33"/>
  <c r="H7" i="36"/>
  <c r="U7" i="36" s="1"/>
  <c r="C118" i="43"/>
  <c r="D116" i="43"/>
  <c r="F28" i="12"/>
  <c r="C29" i="12" s="1"/>
  <c r="D28" i="12" s="1"/>
  <c r="F27" i="11"/>
  <c r="F7" i="85"/>
  <c r="H7" i="85"/>
  <c r="AC30" i="37"/>
  <c r="W30" i="37"/>
  <c r="U30" i="37"/>
  <c r="AB30" i="37"/>
  <c r="E30" i="6"/>
  <c r="E31" i="6" s="1"/>
  <c r="K25" i="6"/>
  <c r="M25" i="6" s="1"/>
  <c r="I25" i="6" s="1"/>
  <c r="S25" i="6" s="1"/>
  <c r="K23" i="6"/>
  <c r="M23" i="6" s="1"/>
  <c r="I23" i="6" s="1"/>
  <c r="S23" i="6" s="1"/>
  <c r="K19" i="6"/>
  <c r="K14" i="1"/>
  <c r="K26" i="6"/>
  <c r="M26" i="6" s="1"/>
  <c r="I26" i="6" s="1"/>
  <c r="S26" i="6" s="1"/>
  <c r="K20" i="6"/>
  <c r="M20" i="6" s="1"/>
  <c r="I20" i="6" s="1"/>
  <c r="S20" i="6" s="1"/>
  <c r="K24" i="6"/>
  <c r="M24" i="6" s="1"/>
  <c r="I24" i="6" s="1"/>
  <c r="S24" i="6" s="1"/>
  <c r="K21" i="6"/>
  <c r="M21" i="6" s="1"/>
  <c r="I21" i="6" s="1"/>
  <c r="S21" i="6" s="1"/>
  <c r="K22" i="6"/>
  <c r="M22" i="6" s="1"/>
  <c r="I22" i="6" s="1"/>
  <c r="S22" i="6" s="1"/>
  <c r="E60" i="39"/>
  <c r="E56" i="40"/>
  <c r="F27" i="6"/>
  <c r="F31" i="6" s="1"/>
  <c r="E16" i="6"/>
  <c r="E56" i="39"/>
  <c r="E51" i="40"/>
  <c r="E59" i="40"/>
  <c r="E63" i="39"/>
  <c r="C41" i="77"/>
  <c r="B2" i="77"/>
  <c r="B3" i="77" s="1"/>
  <c r="AA30" i="85"/>
  <c r="S30" i="85"/>
  <c r="AB30" i="85"/>
  <c r="U30" i="85"/>
  <c r="F22" i="11"/>
  <c r="C23" i="11" s="1"/>
  <c r="F25" i="12"/>
  <c r="C26" i="12" s="1"/>
  <c r="D25" i="12" s="1"/>
  <c r="F22" i="69"/>
  <c r="C26" i="69" s="1"/>
  <c r="D22" i="69" s="1"/>
  <c r="F22" i="68"/>
  <c r="C44" i="68" s="1"/>
  <c r="D41" i="68" s="1"/>
  <c r="F24" i="15"/>
  <c r="C24" i="15" s="1"/>
  <c r="F24" i="67"/>
  <c r="C24" i="67" s="1"/>
  <c r="R39" i="35"/>
  <c r="E38" i="35"/>
  <c r="I43" i="35" s="1"/>
  <c r="J43" i="35" s="1"/>
  <c r="AC7" i="37"/>
  <c r="V42" i="37" s="1"/>
  <c r="I42" i="37" s="1"/>
  <c r="W7" i="37"/>
  <c r="AB7" i="21"/>
  <c r="T48" i="21" s="1"/>
  <c r="G48" i="21" s="1"/>
  <c r="U7" i="21"/>
  <c r="W7" i="34"/>
  <c r="AC7" i="34"/>
  <c r="V49" i="34" s="1"/>
  <c r="I49" i="34" s="1"/>
  <c r="AB7" i="33"/>
  <c r="T48" i="33" s="1"/>
  <c r="G48" i="33" s="1"/>
  <c r="U7" i="33"/>
  <c r="W7" i="36"/>
  <c r="AC7" i="36"/>
  <c r="V36" i="36" s="1"/>
  <c r="I36" i="36" s="1"/>
  <c r="G42" i="35"/>
  <c r="H42" i="35" s="1"/>
  <c r="G43" i="35"/>
  <c r="H43" i="35" s="1"/>
  <c r="I52" i="21"/>
  <c r="J52" i="21" s="1"/>
  <c r="R50" i="34"/>
  <c r="E49" i="34"/>
  <c r="D65" i="40"/>
  <c r="E63" i="40"/>
  <c r="F7" i="37"/>
  <c r="H7" i="37"/>
  <c r="I42" i="35"/>
  <c r="J42" i="35" s="1"/>
  <c r="AA7" i="21"/>
  <c r="R48" i="21" s="1"/>
  <c r="S7" i="21"/>
  <c r="AB7" i="34"/>
  <c r="T49" i="34" s="1"/>
  <c r="G49" i="34" s="1"/>
  <c r="U7" i="34"/>
  <c r="AA7" i="33"/>
  <c r="R48" i="33" s="1"/>
  <c r="S7" i="33"/>
  <c r="F7" i="36"/>
  <c r="J24" i="67"/>
  <c r="J26" i="67"/>
  <c r="J24" i="15"/>
  <c r="J26" i="15"/>
  <c r="C48" i="15"/>
  <c r="C61" i="15"/>
  <c r="P36" i="43"/>
  <c r="Q36" i="43"/>
  <c r="M36" i="43"/>
  <c r="L37" i="43"/>
  <c r="N36" i="43"/>
  <c r="O36" i="43"/>
  <c r="F41" i="15"/>
  <c r="F41" i="67"/>
  <c r="AB7" i="36" l="1"/>
  <c r="T36" i="36" s="1"/>
  <c r="G36" i="36" s="1"/>
  <c r="AC7" i="85"/>
  <c r="H6" i="3"/>
  <c r="AC6" i="3"/>
  <c r="E6" i="3" s="1"/>
  <c r="C44" i="11"/>
  <c r="D41" i="11" s="1"/>
  <c r="C60" i="67"/>
  <c r="W7" i="33"/>
  <c r="F69" i="67"/>
  <c r="M19" i="6"/>
  <c r="S6" i="1"/>
  <c r="K27" i="6"/>
  <c r="U7" i="85"/>
  <c r="AB7" i="85"/>
  <c r="T42" i="85" s="1"/>
  <c r="G42" i="85" s="1"/>
  <c r="C29" i="11"/>
  <c r="D27" i="11" s="1"/>
  <c r="C47" i="11"/>
  <c r="D45" i="11" s="1"/>
  <c r="G42" i="43"/>
  <c r="I42" i="43" s="1"/>
  <c r="E42" i="43"/>
  <c r="G37" i="43"/>
  <c r="I37" i="43" s="1"/>
  <c r="E37" i="43"/>
  <c r="G41" i="43"/>
  <c r="I41" i="43" s="1"/>
  <c r="E41" i="43"/>
  <c r="C34" i="43"/>
  <c r="E34" i="43" s="1"/>
  <c r="E33" i="43"/>
  <c r="C6" i="69"/>
  <c r="C7" i="69" s="1"/>
  <c r="C5" i="69" s="1"/>
  <c r="W10" i="39"/>
  <c r="AC10" i="39"/>
  <c r="S10" i="39"/>
  <c r="AA10" i="39"/>
  <c r="S10" i="40"/>
  <c r="AA10" i="40"/>
  <c r="AY87" i="3"/>
  <c r="AY51" i="3"/>
  <c r="AY34" i="3"/>
  <c r="AY83"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J29" i="67"/>
  <c r="E65" i="39"/>
  <c r="M14" i="1"/>
  <c r="K16" i="1"/>
  <c r="AA7" i="85"/>
  <c r="R42" i="85" s="1"/>
  <c r="S7" i="85"/>
  <c r="G40" i="43"/>
  <c r="I40" i="43" s="1"/>
  <c r="E40" i="43"/>
  <c r="E38" i="43"/>
  <c r="G38" i="43"/>
  <c r="I38" i="43" s="1"/>
  <c r="G39" i="43"/>
  <c r="I39" i="43" s="1"/>
  <c r="E39" i="43"/>
  <c r="C17" i="71"/>
  <c r="D18" i="71"/>
  <c r="V42" i="85"/>
  <c r="I42" i="85" s="1"/>
  <c r="U10" i="39"/>
  <c r="AB10" i="39"/>
  <c r="AB10" i="40"/>
  <c r="U10" i="40"/>
  <c r="AC10" i="40"/>
  <c r="W10" i="40"/>
  <c r="G69" i="39"/>
  <c r="H67" i="39"/>
  <c r="E6" i="6"/>
  <c r="D14" i="12"/>
  <c r="D19" i="11"/>
  <c r="C19" i="11" s="1"/>
  <c r="C24" i="11" s="1"/>
  <c r="L18" i="9"/>
  <c r="D3" i="33"/>
  <c r="B3" i="33" s="1"/>
  <c r="D3" i="21"/>
  <c r="B3" i="21" s="1"/>
  <c r="D37" i="11"/>
  <c r="C37" i="11" s="1"/>
  <c r="M18" i="9"/>
  <c r="B118" i="9" s="1"/>
  <c r="D3" i="34"/>
  <c r="B3" i="34" s="1"/>
  <c r="C17" i="4"/>
  <c r="B4" i="52" s="1"/>
  <c r="B43" i="72" s="1"/>
  <c r="C23" i="69"/>
  <c r="C44" i="69"/>
  <c r="D41" i="69" s="1"/>
  <c r="F41" i="69"/>
  <c r="C26" i="11"/>
  <c r="D22" i="11" s="1"/>
  <c r="C26" i="68"/>
  <c r="D22" i="68" s="1"/>
  <c r="F41" i="68"/>
  <c r="F69" i="15"/>
  <c r="J29" i="15"/>
  <c r="R49" i="21"/>
  <c r="E48" i="21"/>
  <c r="AA7" i="37"/>
  <c r="R42" i="37" s="1"/>
  <c r="S7" i="37"/>
  <c r="F63" i="40"/>
  <c r="E65" i="40"/>
  <c r="E54" i="34"/>
  <c r="F54" i="34" s="1"/>
  <c r="E53" i="34"/>
  <c r="F53" i="34" s="1"/>
  <c r="I40" i="36"/>
  <c r="J40" i="36" s="1"/>
  <c r="I52" i="33"/>
  <c r="J52" i="33" s="1"/>
  <c r="I53" i="34"/>
  <c r="J53" i="34" s="1"/>
  <c r="I54" i="34"/>
  <c r="J54" i="34" s="1"/>
  <c r="C39" i="35"/>
  <c r="M3" i="35" s="1"/>
  <c r="C38" i="35"/>
  <c r="AA7" i="36"/>
  <c r="R36" i="36" s="1"/>
  <c r="S7" i="36"/>
  <c r="R49" i="33"/>
  <c r="E48" i="33"/>
  <c r="G53" i="34"/>
  <c r="H53" i="34" s="1"/>
  <c r="G54" i="34"/>
  <c r="H54" i="34" s="1"/>
  <c r="U7" i="37"/>
  <c r="AB7" i="37"/>
  <c r="T42" i="37" s="1"/>
  <c r="G42" i="37" s="1"/>
  <c r="C49" i="34"/>
  <c r="C50" i="34"/>
  <c r="G40" i="36"/>
  <c r="H40" i="36" s="1"/>
  <c r="G41" i="36"/>
  <c r="H41" i="36" s="1"/>
  <c r="G52" i="33"/>
  <c r="H52" i="33" s="1"/>
  <c r="G53" i="33"/>
  <c r="H53" i="33" s="1"/>
  <c r="G52" i="21"/>
  <c r="H52" i="21" s="1"/>
  <c r="G53" i="21"/>
  <c r="H53" i="21" s="1"/>
  <c r="I46" i="37"/>
  <c r="J46" i="37" s="1"/>
  <c r="E43" i="35"/>
  <c r="F43" i="35" s="1"/>
  <c r="E42" i="35"/>
  <c r="F42" i="35" s="1"/>
  <c r="C66" i="15"/>
  <c r="C60" i="15"/>
  <c r="P37" i="43"/>
  <c r="Q37" i="43"/>
  <c r="N37" i="43"/>
  <c r="M37" i="43"/>
  <c r="O37" i="43"/>
  <c r="C17" i="15"/>
  <c r="C17" i="67"/>
  <c r="D10" i="68"/>
  <c r="D10" i="69"/>
  <c r="C34" i="69"/>
  <c r="C14" i="67"/>
  <c r="C38" i="69" l="1"/>
  <c r="C35" i="69"/>
  <c r="C10" i="68"/>
  <c r="D19" i="68"/>
  <c r="C10" i="69"/>
  <c r="D19" i="69"/>
  <c r="C18" i="67"/>
  <c r="C15" i="67"/>
  <c r="D17" i="12"/>
  <c r="C17" i="12" s="1"/>
  <c r="C14" i="12"/>
  <c r="C16" i="12" s="1"/>
  <c r="H69" i="39"/>
  <c r="I67" i="39"/>
  <c r="I46" i="85"/>
  <c r="J46" i="85" s="1"/>
  <c r="D17" i="71"/>
  <c r="C16" i="71"/>
  <c r="R43" i="85"/>
  <c r="E42" i="85"/>
  <c r="M16" i="1"/>
  <c r="D15" i="6"/>
  <c r="D21" i="6"/>
  <c r="D20" i="6"/>
  <c r="D8" i="6"/>
  <c r="D6" i="6"/>
  <c r="D10" i="6"/>
  <c r="D29" i="6"/>
  <c r="H22" i="6"/>
  <c r="H24" i="6"/>
  <c r="C18" i="4"/>
  <c r="D5" i="6"/>
  <c r="D11" i="6"/>
  <c r="D28" i="6"/>
  <c r="D30" i="6" s="1"/>
  <c r="E61" i="40"/>
  <c r="H23" i="6"/>
  <c r="D25" i="6"/>
  <c r="D22" i="6"/>
  <c r="D24" i="6"/>
  <c r="M19" i="9"/>
  <c r="C118" i="9" s="1"/>
  <c r="D26" i="6"/>
  <c r="D14" i="6"/>
  <c r="D9" i="6"/>
  <c r="L19" i="9"/>
  <c r="H25" i="6"/>
  <c r="H21" i="6"/>
  <c r="D19" i="6"/>
  <c r="D23" i="6"/>
  <c r="R23" i="6" s="1"/>
  <c r="D12" i="6"/>
  <c r="D13" i="6"/>
  <c r="H26" i="6"/>
  <c r="H20" i="6"/>
  <c r="C31" i="43"/>
  <c r="AR6" i="1"/>
  <c r="E6" i="70"/>
  <c r="E2" i="70" s="1"/>
  <c r="AQ6" i="1"/>
  <c r="T6" i="1"/>
  <c r="S16" i="1"/>
  <c r="C20" i="11"/>
  <c r="C25" i="11" s="1"/>
  <c r="C22" i="11" s="1"/>
  <c r="D10" i="11"/>
  <c r="C10" i="11" s="1"/>
  <c r="D20" i="12"/>
  <c r="C20" i="12" s="1"/>
  <c r="C18" i="12" s="1"/>
  <c r="C6" i="68"/>
  <c r="C7" i="68" s="1"/>
  <c r="C5" i="68" s="1"/>
  <c r="C30" i="43"/>
  <c r="G46" i="85"/>
  <c r="H46" i="85" s="1"/>
  <c r="G47" i="85"/>
  <c r="H47" i="85" s="1"/>
  <c r="I19" i="6"/>
  <c r="M27" i="6"/>
  <c r="G46" i="37"/>
  <c r="H46" i="37" s="1"/>
  <c r="G47" i="37"/>
  <c r="H47" i="37" s="1"/>
  <c r="E53" i="33"/>
  <c r="F53" i="33" s="1"/>
  <c r="E52" i="33"/>
  <c r="F52" i="33" s="1"/>
  <c r="E52" i="21"/>
  <c r="F52" i="21" s="1"/>
  <c r="E53" i="21"/>
  <c r="F53" i="21" s="1"/>
  <c r="I53" i="21"/>
  <c r="J53" i="21" s="1"/>
  <c r="C49" i="33"/>
  <c r="C48" i="33"/>
  <c r="R37" i="36"/>
  <c r="E36" i="36"/>
  <c r="I53" i="33"/>
  <c r="J53" i="33" s="1"/>
  <c r="G63" i="40"/>
  <c r="F65" i="40"/>
  <c r="R43" i="37"/>
  <c r="E42" i="37"/>
  <c r="C49" i="21"/>
  <c r="C48" i="21"/>
  <c r="C14" i="15"/>
  <c r="E6" i="76"/>
  <c r="C34" i="68"/>
  <c r="R22" i="6" l="1"/>
  <c r="C19" i="67"/>
  <c r="C20" i="67" s="1"/>
  <c r="C26" i="67" s="1"/>
  <c r="E2" i="76"/>
  <c r="C18" i="15"/>
  <c r="C15" i="15"/>
  <c r="C38" i="68"/>
  <c r="C35" i="68"/>
  <c r="B2" i="43"/>
  <c r="R20" i="6"/>
  <c r="T16" i="1"/>
  <c r="C42" i="85"/>
  <c r="U6" i="1" s="1"/>
  <c r="C43" i="85"/>
  <c r="S19" i="6"/>
  <c r="S27" i="6" s="1"/>
  <c r="I27" i="6"/>
  <c r="C23" i="68"/>
  <c r="C28" i="11"/>
  <c r="C27" i="11" s="1"/>
  <c r="C31" i="11" s="1"/>
  <c r="H19" i="6"/>
  <c r="H27" i="6" s="1"/>
  <c r="D27" i="6"/>
  <c r="D31" i="6" s="1"/>
  <c r="R26" i="6"/>
  <c r="R24" i="6"/>
  <c r="R25" i="6"/>
  <c r="C4" i="52"/>
  <c r="B45" i="72" s="1"/>
  <c r="A10" i="51"/>
  <c r="B9" i="72" s="1"/>
  <c r="A7" i="51"/>
  <c r="B7" i="72" s="1"/>
  <c r="D16" i="6"/>
  <c r="R21" i="6"/>
  <c r="L16" i="1"/>
  <c r="N16" i="1"/>
  <c r="C34" i="11"/>
  <c r="E47" i="85"/>
  <c r="F47" i="85" s="1"/>
  <c r="E46" i="85"/>
  <c r="F46" i="85" s="1"/>
  <c r="D16" i="71"/>
  <c r="U16" i="71" s="1"/>
  <c r="T16" i="71"/>
  <c r="C15" i="71"/>
  <c r="I47" i="85"/>
  <c r="J47" i="85" s="1"/>
  <c r="J67" i="39"/>
  <c r="I69" i="39"/>
  <c r="C21" i="12"/>
  <c r="C19" i="69"/>
  <c r="D37" i="69"/>
  <c r="C37" i="69" s="1"/>
  <c r="C33" i="69" s="1"/>
  <c r="D37" i="68"/>
  <c r="C37" i="68" s="1"/>
  <c r="C19" i="68"/>
  <c r="C24" i="68" s="1"/>
  <c r="E47" i="37"/>
  <c r="F47" i="37" s="1"/>
  <c r="E46" i="37"/>
  <c r="F46" i="37" s="1"/>
  <c r="I47" i="37"/>
  <c r="J47" i="37" s="1"/>
  <c r="C37" i="36"/>
  <c r="C36" i="36"/>
  <c r="C43" i="37"/>
  <c r="B2" i="37" s="1"/>
  <c r="C42" i="37"/>
  <c r="G65" i="40"/>
  <c r="H63" i="40"/>
  <c r="E40" i="36"/>
  <c r="F40" i="36" s="1"/>
  <c r="E41" i="36"/>
  <c r="F41" i="36" s="1"/>
  <c r="I41" i="36"/>
  <c r="J41" i="36" s="1"/>
  <c r="C19" i="9"/>
  <c r="F6" i="67"/>
  <c r="B6" i="76"/>
  <c r="F6" i="15"/>
  <c r="C20" i="68" l="1"/>
  <c r="C25" i="68" s="1"/>
  <c r="C22" i="68" s="1"/>
  <c r="C33" i="68"/>
  <c r="C42" i="68" s="1"/>
  <c r="C19" i="15"/>
  <c r="C20" i="15" s="1"/>
  <c r="C26" i="15" s="1"/>
  <c r="C6" i="15"/>
  <c r="C10" i="15" s="1"/>
  <c r="C6" i="67"/>
  <c r="B2" i="76"/>
  <c r="B3" i="76" s="1"/>
  <c r="C24" i="69"/>
  <c r="C20" i="69"/>
  <c r="C25" i="69" s="1"/>
  <c r="C22" i="12"/>
  <c r="C30" i="12" s="1"/>
  <c r="C28" i="12" s="1"/>
  <c r="K67" i="39"/>
  <c r="J69" i="39"/>
  <c r="D15" i="71"/>
  <c r="C14" i="71"/>
  <c r="F50" i="69"/>
  <c r="F50" i="11"/>
  <c r="F50" i="68"/>
  <c r="I5" i="6"/>
  <c r="I6" i="6"/>
  <c r="B3" i="43"/>
  <c r="C39" i="69"/>
  <c r="C43" i="69" s="1"/>
  <c r="C42" i="69"/>
  <c r="C35" i="11"/>
  <c r="C38" i="11"/>
  <c r="R19" i="6"/>
  <c r="C23" i="67"/>
  <c r="C29" i="67" s="1"/>
  <c r="B3" i="85"/>
  <c r="B2" i="85"/>
  <c r="C102" i="9"/>
  <c r="C21" i="9"/>
  <c r="B3" i="37"/>
  <c r="H65" i="40"/>
  <c r="I63" i="40"/>
  <c r="C20" i="9"/>
  <c r="C39" i="68" l="1"/>
  <c r="C43" i="68" s="1"/>
  <c r="C41" i="68" s="1"/>
  <c r="C33" i="11"/>
  <c r="C39" i="11" s="1"/>
  <c r="C43" i="11" s="1"/>
  <c r="C46" i="69"/>
  <c r="C45" i="69" s="1"/>
  <c r="C27" i="12"/>
  <c r="C25" i="12" s="1"/>
  <c r="C32" i="12" s="1"/>
  <c r="B2" i="12" s="1"/>
  <c r="B3" i="12" s="1"/>
  <c r="C28" i="69"/>
  <c r="C27" i="69" s="1"/>
  <c r="C28" i="68"/>
  <c r="C27" i="68" s="1"/>
  <c r="C31" i="68" s="1"/>
  <c r="C57" i="67"/>
  <c r="C64" i="67" s="1"/>
  <c r="Q49" i="67"/>
  <c r="J14" i="67"/>
  <c r="C13" i="67"/>
  <c r="C36" i="67"/>
  <c r="R6" i="1"/>
  <c r="R27" i="6"/>
  <c r="C42" i="11"/>
  <c r="D14" i="71"/>
  <c r="C13" i="71"/>
  <c r="C33" i="15"/>
  <c r="C32" i="15"/>
  <c r="C5" i="15"/>
  <c r="C38" i="15" s="1"/>
  <c r="C41" i="69"/>
  <c r="K69" i="39"/>
  <c r="L67" i="39"/>
  <c r="C22" i="69"/>
  <c r="C23" i="15"/>
  <c r="C29" i="15" s="1"/>
  <c r="C32" i="67"/>
  <c r="C10" i="67"/>
  <c r="C5" i="67" s="1"/>
  <c r="C38" i="67" s="1"/>
  <c r="C33" i="67"/>
  <c r="C103" i="9"/>
  <c r="J63" i="40"/>
  <c r="I65" i="40"/>
  <c r="M21" i="67"/>
  <c r="F35" i="15"/>
  <c r="F35" i="67"/>
  <c r="M21" i="15"/>
  <c r="C46" i="68" l="1"/>
  <c r="C45" i="68" s="1"/>
  <c r="C49" i="68" s="1"/>
  <c r="C51" i="68" s="1"/>
  <c r="C52" i="68" s="1"/>
  <c r="B2" i="68" s="1"/>
  <c r="C31" i="69"/>
  <c r="C49" i="69"/>
  <c r="C51" i="69" s="1"/>
  <c r="F63" i="67"/>
  <c r="C62" i="67" s="1"/>
  <c r="C59" i="67" s="1"/>
  <c r="C34" i="67"/>
  <c r="C31" i="67" s="1"/>
  <c r="J20" i="67"/>
  <c r="J17" i="67" s="1"/>
  <c r="J20" i="15"/>
  <c r="J17" i="15" s="1"/>
  <c r="F63" i="15"/>
  <c r="C62" i="15" s="1"/>
  <c r="C59" i="15" s="1"/>
  <c r="C34" i="15"/>
  <c r="C31" i="15" s="1"/>
  <c r="C12" i="71"/>
  <c r="D13" i="71"/>
  <c r="J22" i="67"/>
  <c r="J13" i="67"/>
  <c r="J23" i="67" s="1"/>
  <c r="J14" i="15"/>
  <c r="C57" i="15"/>
  <c r="C64" i="15" s="1"/>
  <c r="J59" i="15"/>
  <c r="J60" i="15" s="1"/>
  <c r="Q49" i="15"/>
  <c r="C36" i="15"/>
  <c r="C13" i="15"/>
  <c r="M67" i="39"/>
  <c r="L69" i="39"/>
  <c r="C41" i="11"/>
  <c r="C46" i="11"/>
  <c r="C45" i="11" s="1"/>
  <c r="R16" i="1"/>
  <c r="C56" i="67"/>
  <c r="C65" i="67" s="1"/>
  <c r="Q70" i="67"/>
  <c r="C75" i="67"/>
  <c r="C37" i="67"/>
  <c r="J65" i="40"/>
  <c r="K63" i="40"/>
  <c r="B3" i="68"/>
  <c r="C49" i="11" l="1"/>
  <c r="C51" i="11" s="1"/>
  <c r="C52" i="11" s="1"/>
  <c r="B2" i="11" s="1"/>
  <c r="B3" i="11" s="1"/>
  <c r="C52" i="69"/>
  <c r="B2" i="69" s="1"/>
  <c r="C30" i="67"/>
  <c r="C39" i="67" s="1"/>
  <c r="C40" i="67" s="1"/>
  <c r="N67" i="39"/>
  <c r="M69" i="39"/>
  <c r="Q48" i="15"/>
  <c r="L46" i="15"/>
  <c r="J22" i="15"/>
  <c r="J13" i="15"/>
  <c r="J23" i="15" s="1"/>
  <c r="C11" i="71"/>
  <c r="D12" i="71"/>
  <c r="U12" i="71" s="1"/>
  <c r="T12" i="71"/>
  <c r="J16" i="67"/>
  <c r="J25" i="67" s="1"/>
  <c r="C58" i="67"/>
  <c r="C67" i="67" s="1"/>
  <c r="C68" i="67" s="1"/>
  <c r="C71" i="67" s="1"/>
  <c r="Q70" i="15"/>
  <c r="C75" i="15"/>
  <c r="C56" i="15"/>
  <c r="C65" i="15" s="1"/>
  <c r="C58" i="15" s="1"/>
  <c r="C67" i="15" s="1"/>
  <c r="C68" i="15" s="1"/>
  <c r="C37" i="15"/>
  <c r="C30" i="15" s="1"/>
  <c r="C39" i="15" s="1"/>
  <c r="C57" i="68"/>
  <c r="C56" i="68" s="1"/>
  <c r="K65" i="40"/>
  <c r="L63" i="40"/>
  <c r="B3" i="69"/>
  <c r="L51" i="67"/>
  <c r="C80" i="67" l="1"/>
  <c r="C79" i="67" s="1"/>
  <c r="C57" i="69"/>
  <c r="C56" i="69" s="1"/>
  <c r="J16" i="15"/>
  <c r="J25" i="15" s="1"/>
  <c r="C56" i="11"/>
  <c r="C57" i="11" s="1"/>
  <c r="Q69" i="67"/>
  <c r="Q68" i="67" s="1"/>
  <c r="Q67" i="67"/>
  <c r="C40" i="15"/>
  <c r="C46" i="15" s="1"/>
  <c r="Q69" i="15"/>
  <c r="Q68" i="15" s="1"/>
  <c r="C80" i="15"/>
  <c r="C79" i="15" s="1"/>
  <c r="C45" i="67"/>
  <c r="C46" i="67" s="1"/>
  <c r="Q47" i="67"/>
  <c r="Q53" i="67" s="1"/>
  <c r="D2" i="67"/>
  <c r="Q56" i="67"/>
  <c r="Q62" i="67" s="1"/>
  <c r="C43" i="67"/>
  <c r="Q65" i="67"/>
  <c r="Q75" i="67" s="1"/>
  <c r="C83" i="67"/>
  <c r="C82" i="67" s="1"/>
  <c r="C71" i="15"/>
  <c r="D11" i="71"/>
  <c r="C10" i="71"/>
  <c r="O67" i="39"/>
  <c r="O69" i="39" s="1"/>
  <c r="N69" i="39"/>
  <c r="M63" i="40"/>
  <c r="L65" i="40"/>
  <c r="L51" i="15"/>
  <c r="Q67" i="15" l="1"/>
  <c r="H7" i="39"/>
  <c r="J7" i="39"/>
  <c r="F7" i="39"/>
  <c r="C9" i="71"/>
  <c r="D10" i="71"/>
  <c r="B3" i="67"/>
  <c r="B2" i="67"/>
  <c r="Q47" i="15"/>
  <c r="Q53" i="15" s="1"/>
  <c r="Q56" i="15"/>
  <c r="Q62" i="15" s="1"/>
  <c r="Q65" i="15"/>
  <c r="Q75" i="15" s="1"/>
  <c r="C43" i="15"/>
  <c r="B2" i="15"/>
  <c r="C83" i="15"/>
  <c r="C82" i="15" s="1"/>
  <c r="N63" i="40"/>
  <c r="M65" i="40"/>
  <c r="D19" i="9"/>
  <c r="AO6" i="1"/>
  <c r="D102" i="9" l="1"/>
  <c r="G19" i="9"/>
  <c r="G21" i="9" s="1"/>
  <c r="D21" i="9"/>
  <c r="D22" i="9"/>
  <c r="B6" i="70"/>
  <c r="B2" i="70" s="1"/>
  <c r="B3" i="70" s="1"/>
  <c r="B3" i="15"/>
  <c r="D9" i="71"/>
  <c r="C8" i="71"/>
  <c r="W7" i="39"/>
  <c r="AC7" i="39"/>
  <c r="V47" i="39" s="1"/>
  <c r="I47" i="39" s="1"/>
  <c r="S7" i="39"/>
  <c r="AA7" i="39"/>
  <c r="R47" i="39" s="1"/>
  <c r="U7" i="39"/>
  <c r="AB7" i="39"/>
  <c r="T47" i="39" s="1"/>
  <c r="G47" i="39" s="1"/>
  <c r="O63" i="40"/>
  <c r="O65" i="40" s="1"/>
  <c r="N65" i="40"/>
  <c r="D20" i="9"/>
  <c r="D103" i="9" l="1"/>
  <c r="G20" i="9"/>
  <c r="F24" i="9" s="1"/>
  <c r="G51" i="39"/>
  <c r="H51" i="39" s="1"/>
  <c r="G52" i="39"/>
  <c r="H52" i="39" s="1"/>
  <c r="R48" i="39"/>
  <c r="E47" i="39"/>
  <c r="I52" i="39" s="1"/>
  <c r="J52" i="39" s="1"/>
  <c r="I51" i="39"/>
  <c r="J51" i="39" s="1"/>
  <c r="D8" i="71"/>
  <c r="C7" i="71"/>
  <c r="H7" i="40"/>
  <c r="F7" i="40"/>
  <c r="J7" i="40"/>
  <c r="C32" i="9" l="1"/>
  <c r="C35" i="9" s="1"/>
  <c r="C34" i="9" s="1"/>
  <c r="E14" i="74"/>
  <c r="D14" i="74" s="1"/>
  <c r="C48" i="39"/>
  <c r="C47" i="39"/>
  <c r="D7" i="71"/>
  <c r="C6" i="71"/>
  <c r="E52" i="39"/>
  <c r="F52" i="39" s="1"/>
  <c r="E51" i="39"/>
  <c r="F51" i="39" s="1"/>
  <c r="AA7" i="40"/>
  <c r="R42" i="40" s="1"/>
  <c r="S7" i="40"/>
  <c r="AC7" i="40"/>
  <c r="V42" i="40" s="1"/>
  <c r="I42" i="40" s="1"/>
  <c r="W7" i="40"/>
  <c r="AB7" i="40"/>
  <c r="T42" i="40" s="1"/>
  <c r="G42" i="40" s="1"/>
  <c r="U7" i="40"/>
  <c r="B5" i="74" l="1"/>
  <c r="D5" i="74" s="1"/>
  <c r="F14" i="74"/>
  <c r="C5" i="71"/>
  <c r="D6" i="71"/>
  <c r="B56" i="39"/>
  <c r="F56" i="39" s="1"/>
  <c r="F65" i="39" s="1"/>
  <c r="B2" i="39" s="1"/>
  <c r="B3" i="39" s="1"/>
  <c r="B64" i="39"/>
  <c r="F64" i="39" s="1"/>
  <c r="B61" i="39"/>
  <c r="F61" i="39" s="1"/>
  <c r="B58" i="39"/>
  <c r="F58" i="39" s="1"/>
  <c r="B59" i="39"/>
  <c r="F59" i="39" s="1"/>
  <c r="B63" i="39"/>
  <c r="F63" i="39" s="1"/>
  <c r="B60" i="39"/>
  <c r="F60" i="39" s="1"/>
  <c r="B57" i="39"/>
  <c r="F57" i="39" s="1"/>
  <c r="B62" i="39"/>
  <c r="F62" i="39" s="1"/>
  <c r="G46" i="40"/>
  <c r="H46" i="40" s="1"/>
  <c r="G47" i="40"/>
  <c r="H47" i="40" s="1"/>
  <c r="I46" i="40"/>
  <c r="J46" i="40" s="1"/>
  <c r="E42" i="40"/>
  <c r="R43" i="40"/>
  <c r="D5" i="71" l="1"/>
  <c r="M24" i="43"/>
  <c r="E47" i="40"/>
  <c r="F47" i="40" s="1"/>
  <c r="E46" i="40"/>
  <c r="F46" i="40" s="1"/>
  <c r="C43" i="40"/>
  <c r="C42" i="40"/>
  <c r="I47" i="40"/>
  <c r="J47" i="40" s="1"/>
  <c r="B58" i="40" l="1"/>
  <c r="F58" i="40" s="1"/>
  <c r="B59" i="40"/>
  <c r="F59" i="40" s="1"/>
  <c r="B56" i="40"/>
  <c r="F56" i="40" s="1"/>
  <c r="B57" i="40"/>
  <c r="F57" i="40" s="1"/>
  <c r="F61" i="40"/>
  <c r="B2" i="40" s="1"/>
  <c r="B3" i="40" s="1"/>
  <c r="B54" i="40"/>
  <c r="F54" i="40" s="1"/>
  <c r="B53" i="40"/>
  <c r="F53" i="40" s="1"/>
  <c r="B52" i="40"/>
  <c r="F52" i="40" s="1"/>
  <c r="B60" i="40"/>
  <c r="F60" i="40" s="1"/>
  <c r="B51" i="40"/>
  <c r="F51" i="40" s="1"/>
  <c r="B52" i="72"/>
  <c r="G4" i="52"/>
  <c r="B49" i="72"/>
  <c r="D5" i="52"/>
  <c r="D119" i="9"/>
  <c r="B51" i="72"/>
  <c r="F4" i="52"/>
  <c r="E81" i="9"/>
  <c r="E80" i="9"/>
  <c r="C80" i="9"/>
  <c r="B21" i="72"/>
  <c r="D7" i="53"/>
  <c r="C73" i="9"/>
  <c r="C78" i="9"/>
  <c r="D54" i="9"/>
  <c r="C68" i="9"/>
  <c r="N60" i="9"/>
  <c r="N59" i="9"/>
  <c r="N61" i="9"/>
  <c r="D8" i="52"/>
  <c r="E97" i="9"/>
  <c r="E96" i="9"/>
  <c r="C96" i="9"/>
  <c r="H5" i="52"/>
  <c r="H119" i="9"/>
  <c r="M54" i="9"/>
  <c r="C85" i="9"/>
  <c r="C95" i="9"/>
  <c r="C97" i="9"/>
  <c r="D58" i="9"/>
  <c r="D56" i="9"/>
  <c r="B22" i="72"/>
  <c r="D6" i="53"/>
  <c r="B31" i="72"/>
  <c r="D15" i="53"/>
  <c r="C86" i="9"/>
  <c r="C93" i="9"/>
  <c r="E4" i="52"/>
  <c r="B48" i="72"/>
  <c r="M48" i="9"/>
  <c r="B32" i="72"/>
  <c r="D14" i="53"/>
  <c r="M55" i="9"/>
  <c r="C64" i="9"/>
  <c r="C63" i="9"/>
  <c r="C67" i="9"/>
  <c r="D59" i="9"/>
  <c r="I4" i="52"/>
  <c r="C105" i="9"/>
  <c r="H102" i="9"/>
  <c r="C5" i="74"/>
  <c r="D13" i="53"/>
  <c r="B30" i="72"/>
  <c r="N58" i="9"/>
  <c r="D55" i="9"/>
  <c r="M53" i="9"/>
  <c r="N57" i="9"/>
  <c r="P57" i="9"/>
  <c r="G118" i="9"/>
  <c r="F118" i="9"/>
  <c r="F119" i="9"/>
  <c r="F5" i="52"/>
  <c r="B53" i="72"/>
  <c r="D122" i="9"/>
  <c r="D123" i="9"/>
  <c r="D9" i="52"/>
  <c r="E118" i="9"/>
  <c r="D118" i="9"/>
  <c r="D4" i="52"/>
  <c r="B47" i="72"/>
  <c r="H4" i="52"/>
  <c r="C104" i="9"/>
  <c r="D5" i="53"/>
  <c r="B20" i="72"/>
  <c r="H107" i="9"/>
  <c r="H108" i="9"/>
  <c r="C6" i="74"/>
  <c r="D52" i="9"/>
  <c r="D53" i="9"/>
  <c r="I118" i="9"/>
  <c r="H118" i="9"/>
  <c r="H101" i="9"/>
  <c r="D45" i="9"/>
  <c r="C72" i="9"/>
  <c r="C79"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China</author>
    <author>财务</author>
    <author>商向玉</author>
    <author>王怡(财务)</author>
    <author>吕雪莹</author>
    <author>刘冬君</author>
  </authors>
  <commentList>
    <comment ref="P5" authorId="0" shapeId="0" xr:uid="{00000000-0006-0000-3000-000001000000}">
      <text>
        <r>
          <rPr>
            <b/>
            <sz val="9"/>
            <rFont val="Tahoma"/>
            <family val="2"/>
          </rPr>
          <t>2021.7.15</t>
        </r>
        <r>
          <rPr>
            <b/>
            <sz val="9"/>
            <rFont val="宋体"/>
            <family val="3"/>
            <charset val="134"/>
          </rPr>
          <t>开始每</t>
        </r>
        <r>
          <rPr>
            <b/>
            <sz val="9"/>
            <rFont val="Tahoma"/>
            <family val="2"/>
          </rPr>
          <t>1</t>
        </r>
        <r>
          <rPr>
            <b/>
            <sz val="9"/>
            <rFont val="宋体"/>
            <family val="3"/>
            <charset val="134"/>
          </rPr>
          <t>年递增</t>
        </r>
        <r>
          <rPr>
            <b/>
            <sz val="9"/>
            <rFont val="Tahoma"/>
            <family val="2"/>
          </rPr>
          <t>8%</t>
        </r>
      </text>
    </comment>
    <comment ref="P6" authorId="0" shapeId="0" xr:uid="{00000000-0006-0000-3000-000002000000}">
      <text>
        <r>
          <rPr>
            <b/>
            <sz val="9"/>
            <rFont val="Tahoma"/>
            <family val="2"/>
          </rPr>
          <t>2022.8.20</t>
        </r>
        <r>
          <rPr>
            <b/>
            <sz val="9"/>
            <rFont val="宋体"/>
            <family val="3"/>
            <charset val="134"/>
          </rPr>
          <t>开始每两年递增</t>
        </r>
        <r>
          <rPr>
            <b/>
            <sz val="9"/>
            <rFont val="Tahoma"/>
            <family val="2"/>
          </rPr>
          <t>6%</t>
        </r>
      </text>
    </comment>
    <comment ref="D7" authorId="0" shapeId="0" xr:uid="{00000000-0006-0000-3000-000003000000}">
      <text>
        <r>
          <rPr>
            <b/>
            <sz val="9"/>
            <rFont val="Tahoma"/>
            <family val="2"/>
          </rPr>
          <t>China:</t>
        </r>
        <r>
          <rPr>
            <sz val="9"/>
            <rFont val="Tahoma"/>
            <family val="2"/>
          </rPr>
          <t xml:space="preserve">
</t>
        </r>
        <r>
          <rPr>
            <sz val="9"/>
            <rFont val="宋体"/>
            <family val="3"/>
            <charset val="134"/>
          </rPr>
          <t>郝丽芳换签</t>
        </r>
      </text>
    </comment>
    <comment ref="L7" authorId="1" shapeId="0" xr:uid="{00000000-0006-0000-3000-000004000000}">
      <text>
        <r>
          <rPr>
            <b/>
            <sz val="9"/>
            <rFont val="宋体"/>
            <family val="3"/>
            <charset val="134"/>
          </rPr>
          <t>财务:</t>
        </r>
        <r>
          <rPr>
            <sz val="9"/>
            <rFont val="宋体"/>
            <family val="3"/>
            <charset val="134"/>
          </rPr>
          <t xml:space="preserve">
优惠期1元
</t>
        </r>
      </text>
    </comment>
    <comment ref="M7" authorId="1" shapeId="0" xr:uid="{00000000-0006-0000-3000-000005000000}">
      <text>
        <r>
          <rPr>
            <b/>
            <sz val="9"/>
            <rFont val="宋体"/>
            <family val="3"/>
            <charset val="134"/>
          </rPr>
          <t>财务:</t>
        </r>
        <r>
          <rPr>
            <sz val="9"/>
            <rFont val="宋体"/>
            <family val="3"/>
            <charset val="134"/>
          </rPr>
          <t xml:space="preserve">
2023.6.1开始每两年递增10%
</t>
        </r>
      </text>
    </comment>
    <comment ref="P7" authorId="0" shapeId="0" xr:uid="{00000000-0006-0000-3000-000006000000}">
      <text>
        <r>
          <rPr>
            <b/>
            <sz val="9"/>
            <rFont val="Tahoma"/>
            <family val="2"/>
          </rPr>
          <t>China:</t>
        </r>
        <r>
          <rPr>
            <sz val="9"/>
            <rFont val="Tahoma"/>
            <family val="2"/>
          </rPr>
          <t xml:space="preserve">
2023.6.1</t>
        </r>
        <r>
          <rPr>
            <sz val="9"/>
            <rFont val="宋体"/>
            <family val="3"/>
            <charset val="134"/>
          </rPr>
          <t>开始每两年递增</t>
        </r>
        <r>
          <rPr>
            <sz val="9"/>
            <rFont val="Tahoma"/>
            <family val="2"/>
          </rPr>
          <t>10%</t>
        </r>
      </text>
    </comment>
    <comment ref="O8" authorId="2" shapeId="0" xr:uid="{00000000-0006-0000-3000-000007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第三年每年递增</t>
        </r>
        <r>
          <rPr>
            <sz val="9"/>
            <color indexed="81"/>
            <rFont val="Tahoma"/>
            <family val="2"/>
          </rPr>
          <t>5%
2023.8.1</t>
        </r>
        <r>
          <rPr>
            <sz val="9"/>
            <color indexed="81"/>
            <rFont val="宋体"/>
            <family val="3"/>
            <charset val="134"/>
          </rPr>
          <t>单价</t>
        </r>
        <r>
          <rPr>
            <sz val="9"/>
            <color indexed="81"/>
            <rFont val="Tahoma"/>
            <family val="2"/>
          </rPr>
          <t>8.3</t>
        </r>
        <r>
          <rPr>
            <sz val="9"/>
            <color indexed="81"/>
            <rFont val="宋体"/>
            <family val="3"/>
            <charset val="134"/>
          </rPr>
          <t>，月租金</t>
        </r>
        <r>
          <rPr>
            <sz val="9"/>
            <color indexed="81"/>
            <rFont val="Tahoma"/>
            <family val="2"/>
          </rPr>
          <t>46149
2024.8.1</t>
        </r>
        <r>
          <rPr>
            <sz val="9"/>
            <color indexed="81"/>
            <rFont val="宋体"/>
            <family val="3"/>
            <charset val="134"/>
          </rPr>
          <t>单价</t>
        </r>
        <r>
          <rPr>
            <sz val="9"/>
            <color indexed="81"/>
            <rFont val="Tahoma"/>
            <family val="2"/>
          </rPr>
          <t>8.72</t>
        </r>
        <r>
          <rPr>
            <sz val="9"/>
            <color indexed="81"/>
            <rFont val="宋体"/>
            <family val="3"/>
            <charset val="134"/>
          </rPr>
          <t>，月租金</t>
        </r>
        <r>
          <rPr>
            <sz val="9"/>
            <color indexed="81"/>
            <rFont val="Tahoma"/>
            <family val="2"/>
          </rPr>
          <t>48485
2025.8.1</t>
        </r>
        <r>
          <rPr>
            <sz val="9"/>
            <color indexed="81"/>
            <rFont val="宋体"/>
            <family val="3"/>
            <charset val="134"/>
          </rPr>
          <t>单价</t>
        </r>
        <r>
          <rPr>
            <sz val="9"/>
            <color indexed="81"/>
            <rFont val="Tahoma"/>
            <family val="2"/>
          </rPr>
          <t>9.16</t>
        </r>
        <r>
          <rPr>
            <sz val="9"/>
            <color indexed="81"/>
            <rFont val="宋体"/>
            <family val="3"/>
            <charset val="134"/>
          </rPr>
          <t>，月租金</t>
        </r>
        <r>
          <rPr>
            <sz val="9"/>
            <color indexed="81"/>
            <rFont val="Tahoma"/>
            <family val="2"/>
          </rPr>
          <t>50931</t>
        </r>
      </text>
    </comment>
    <comment ref="P8" authorId="0" shapeId="0" xr:uid="{00000000-0006-0000-3000-000008000000}">
      <text>
        <r>
          <rPr>
            <b/>
            <sz val="9"/>
            <rFont val="Tahoma"/>
            <family val="2"/>
          </rPr>
          <t>China:</t>
        </r>
        <r>
          <rPr>
            <sz val="9"/>
            <rFont val="Tahoma"/>
            <family val="2"/>
          </rPr>
          <t xml:space="preserve">
2021.6.15</t>
        </r>
        <r>
          <rPr>
            <sz val="9"/>
            <rFont val="宋体"/>
            <family val="3"/>
            <charset val="134"/>
          </rPr>
          <t>开始每</t>
        </r>
        <r>
          <rPr>
            <sz val="9"/>
            <rFont val="Tahoma"/>
            <family val="2"/>
          </rPr>
          <t>1</t>
        </r>
        <r>
          <rPr>
            <sz val="9"/>
            <rFont val="宋体"/>
            <family val="3"/>
            <charset val="134"/>
          </rPr>
          <t>年递增</t>
        </r>
        <r>
          <rPr>
            <sz val="9"/>
            <rFont val="Tahoma"/>
            <family val="2"/>
          </rPr>
          <t>10%</t>
        </r>
      </text>
    </comment>
    <comment ref="W8" authorId="2" shapeId="0" xr:uid="{00000000-0006-0000-3000-000009000000}">
      <text>
        <r>
          <rPr>
            <b/>
            <sz val="9"/>
            <color indexed="81"/>
            <rFont val="宋体"/>
            <family val="3"/>
            <charset val="134"/>
          </rPr>
          <t>商向玉</t>
        </r>
        <r>
          <rPr>
            <b/>
            <sz val="9"/>
            <color indexed="81"/>
            <rFont val="Tahoma"/>
            <family val="2"/>
          </rPr>
          <t>:</t>
        </r>
        <r>
          <rPr>
            <sz val="9"/>
            <color indexed="81"/>
            <rFont val="Tahoma"/>
            <family val="2"/>
          </rPr>
          <t xml:space="preserve">
106</t>
        </r>
        <r>
          <rPr>
            <sz val="9"/>
            <color indexed="81"/>
            <rFont val="宋体"/>
            <family val="3"/>
            <charset val="134"/>
          </rPr>
          <t>阳光百益</t>
        </r>
      </text>
    </comment>
    <comment ref="X8" authorId="2" shapeId="0" xr:uid="{00000000-0006-0000-3000-00000A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阳光百益</t>
        </r>
      </text>
    </comment>
    <comment ref="Y8" authorId="2" shapeId="0" xr:uid="{00000000-0006-0000-3000-00000B000000}">
      <text>
        <r>
          <rPr>
            <b/>
            <sz val="9"/>
            <color indexed="81"/>
            <rFont val="宋体"/>
            <family val="3"/>
            <charset val="134"/>
          </rPr>
          <t>商向玉</t>
        </r>
        <r>
          <rPr>
            <b/>
            <sz val="9"/>
            <color indexed="81"/>
            <rFont val="Tahoma"/>
            <family val="2"/>
          </rPr>
          <t>:</t>
        </r>
        <r>
          <rPr>
            <sz val="9"/>
            <color indexed="81"/>
            <rFont val="Tahoma"/>
            <family val="2"/>
          </rPr>
          <t xml:space="preserve">
104</t>
        </r>
        <r>
          <rPr>
            <sz val="9"/>
            <color indexed="81"/>
            <rFont val="宋体"/>
            <family val="3"/>
            <charset val="134"/>
          </rPr>
          <t>阳光百益</t>
        </r>
      </text>
    </comment>
    <comment ref="D11" authorId="3" shapeId="0" xr:uid="{00000000-0006-0000-3000-00000C000000}">
      <text>
        <r>
          <rPr>
            <b/>
            <sz val="9"/>
            <rFont val="宋体"/>
            <family val="3"/>
            <charset val="134"/>
          </rPr>
          <t>王怡(财务):</t>
        </r>
        <r>
          <rPr>
            <sz val="9"/>
            <rFont val="宋体"/>
            <family val="3"/>
            <charset val="134"/>
          </rPr>
          <t xml:space="preserve">
原合同北京新航程航空服务有限公司</t>
        </r>
      </text>
    </comment>
    <comment ref="V11" authorId="2" shapeId="0" xr:uid="{00000000-0006-0000-3000-00000D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退保证金</t>
        </r>
        <r>
          <rPr>
            <sz val="9"/>
            <color indexed="81"/>
            <rFont val="Tahoma"/>
            <family val="2"/>
          </rPr>
          <t xml:space="preserve"> 91971
</t>
        </r>
      </text>
    </comment>
    <comment ref="D13" authorId="2" shapeId="0" xr:uid="{00000000-0006-0000-3000-00000E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续签</t>
        </r>
      </text>
    </comment>
    <comment ref="D16" authorId="2" shapeId="0" xr:uid="{00000000-0006-0000-3000-00000F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 xml:space="preserve">原合同条顿城堡（北京）营销有限责任公司
</t>
        </r>
      </text>
    </comment>
    <comment ref="W16" authorId="2" shapeId="0" xr:uid="{00000000-0006-0000-3000-000010000000}">
      <text>
        <r>
          <rPr>
            <b/>
            <sz val="9"/>
            <color indexed="81"/>
            <rFont val="宋体"/>
            <family val="3"/>
            <charset val="134"/>
          </rPr>
          <t>商向玉</t>
        </r>
        <r>
          <rPr>
            <b/>
            <sz val="9"/>
            <color indexed="81"/>
            <rFont val="Tahoma"/>
            <family val="2"/>
          </rPr>
          <t>:</t>
        </r>
        <r>
          <rPr>
            <sz val="9"/>
            <color indexed="81"/>
            <rFont val="Tahoma"/>
            <family val="2"/>
          </rPr>
          <t xml:space="preserve">
1308</t>
        </r>
        <r>
          <rPr>
            <sz val="9"/>
            <color indexed="81"/>
            <rFont val="宋体"/>
            <family val="3"/>
            <charset val="134"/>
          </rPr>
          <t>金色领航退租</t>
        </r>
        <r>
          <rPr>
            <sz val="9"/>
            <color indexed="81"/>
            <rFont val="Tahoma"/>
            <family val="2"/>
          </rPr>
          <t xml:space="preserve">92966.96
</t>
        </r>
      </text>
    </comment>
    <comment ref="D18" authorId="2" shapeId="0" xr:uid="{00000000-0006-0000-3000-000011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丹东市珍妮食品有限公司</t>
        </r>
      </text>
    </comment>
    <comment ref="D19" authorId="2" shapeId="0" xr:uid="{00000000-0006-0000-3000-000012000000}">
      <text>
        <r>
          <rPr>
            <b/>
            <sz val="9"/>
            <rFont val="宋体"/>
            <family val="3"/>
            <charset val="134"/>
          </rPr>
          <t>商向玉:</t>
        </r>
        <r>
          <rPr>
            <sz val="9"/>
            <rFont val="宋体"/>
            <family val="3"/>
            <charset val="134"/>
          </rPr>
          <t xml:space="preserve">
先开发票</t>
        </r>
      </text>
    </comment>
    <comment ref="L19" authorId="2" shapeId="0" xr:uid="{00000000-0006-0000-3000-000013000000}">
      <text>
        <r>
          <rPr>
            <b/>
            <sz val="9"/>
            <rFont val="宋体"/>
            <family val="3"/>
            <charset val="134"/>
          </rPr>
          <t>商向玉:</t>
        </r>
        <r>
          <rPr>
            <sz val="9"/>
            <rFont val="宋体"/>
            <family val="3"/>
            <charset val="134"/>
          </rPr>
          <t xml:space="preserve">
免租期1元/月</t>
        </r>
      </text>
    </comment>
    <comment ref="D20" authorId="2" shapeId="0" xr:uid="{00000000-0006-0000-3000-000014000000}">
      <text>
        <r>
          <rPr>
            <b/>
            <sz val="9"/>
            <rFont val="宋体"/>
            <family val="3"/>
            <charset val="134"/>
          </rPr>
          <t>商向玉:</t>
        </r>
        <r>
          <rPr>
            <sz val="9"/>
            <rFont val="宋体"/>
            <family val="3"/>
            <charset val="134"/>
          </rPr>
          <t xml:space="preserve">
先开发票
原合同名称：港中旅房地产开发有限公司</t>
        </r>
      </text>
    </comment>
    <comment ref="L20" authorId="2" shapeId="0" xr:uid="{00000000-0006-0000-3000-000015000000}">
      <text>
        <r>
          <rPr>
            <b/>
            <sz val="9"/>
            <rFont val="宋体"/>
            <family val="3"/>
            <charset val="134"/>
          </rPr>
          <t>商向玉:</t>
        </r>
        <r>
          <rPr>
            <sz val="9"/>
            <rFont val="宋体"/>
            <family val="3"/>
            <charset val="134"/>
          </rPr>
          <t xml:space="preserve">
免租期1元/月</t>
        </r>
      </text>
    </comment>
    <comment ref="D21" authorId="2" shapeId="0" xr:uid="{00000000-0006-0000-3000-000016000000}">
      <text>
        <r>
          <rPr>
            <b/>
            <sz val="9"/>
            <rFont val="宋体"/>
            <family val="3"/>
            <charset val="134"/>
          </rPr>
          <t>商向玉:</t>
        </r>
        <r>
          <rPr>
            <sz val="9"/>
            <rFont val="宋体"/>
            <family val="3"/>
            <charset val="134"/>
          </rPr>
          <t xml:space="preserve">
先开发票
原合同名称：港中旅房地产开发有限公司</t>
        </r>
      </text>
    </comment>
    <comment ref="L21" authorId="2" shapeId="0" xr:uid="{00000000-0006-0000-3000-000017000000}">
      <text>
        <r>
          <rPr>
            <b/>
            <sz val="9"/>
            <rFont val="宋体"/>
            <family val="3"/>
            <charset val="134"/>
          </rPr>
          <t>商向玉:</t>
        </r>
        <r>
          <rPr>
            <sz val="9"/>
            <rFont val="宋体"/>
            <family val="3"/>
            <charset val="134"/>
          </rPr>
          <t xml:space="preserve">
免租期1元/月</t>
        </r>
      </text>
    </comment>
    <comment ref="W27" authorId="2" shapeId="0" xr:uid="{00000000-0006-0000-3000-000018000000}">
      <text>
        <r>
          <rPr>
            <b/>
            <sz val="9"/>
            <color indexed="81"/>
            <rFont val="宋体"/>
            <family val="3"/>
            <charset val="134"/>
          </rPr>
          <t>商向玉</t>
        </r>
        <r>
          <rPr>
            <b/>
            <sz val="9"/>
            <color indexed="81"/>
            <rFont val="Tahoma"/>
            <family val="2"/>
          </rPr>
          <t>:</t>
        </r>
        <r>
          <rPr>
            <sz val="9"/>
            <color indexed="81"/>
            <rFont val="Tahoma"/>
            <family val="2"/>
          </rPr>
          <t xml:space="preserve">
1603</t>
        </r>
        <r>
          <rPr>
            <sz val="9"/>
            <color indexed="81"/>
            <rFont val="宋体"/>
            <family val="3"/>
            <charset val="134"/>
          </rPr>
          <t>百跃世纪</t>
        </r>
      </text>
    </comment>
    <comment ref="X27" authorId="2" shapeId="0" xr:uid="{00000000-0006-0000-3000-000019000000}">
      <text>
        <r>
          <rPr>
            <b/>
            <sz val="9"/>
            <color indexed="81"/>
            <rFont val="宋体"/>
            <family val="3"/>
            <charset val="134"/>
          </rPr>
          <t>商向玉</t>
        </r>
        <r>
          <rPr>
            <b/>
            <sz val="9"/>
            <color indexed="81"/>
            <rFont val="Tahoma"/>
            <family val="2"/>
          </rPr>
          <t>:</t>
        </r>
        <r>
          <rPr>
            <sz val="9"/>
            <color indexed="81"/>
            <rFont val="Tahoma"/>
            <family val="2"/>
          </rPr>
          <t xml:space="preserve">
1603</t>
        </r>
        <r>
          <rPr>
            <sz val="9"/>
            <color indexed="81"/>
            <rFont val="宋体"/>
            <family val="3"/>
            <charset val="134"/>
          </rPr>
          <t>百跃世纪</t>
        </r>
      </text>
    </comment>
    <comment ref="Y27" authorId="2" shapeId="0" xr:uid="{00000000-0006-0000-3000-00001A000000}">
      <text>
        <r>
          <rPr>
            <b/>
            <sz val="9"/>
            <color indexed="81"/>
            <rFont val="宋体"/>
            <family val="3"/>
            <charset val="134"/>
          </rPr>
          <t>商向玉</t>
        </r>
        <r>
          <rPr>
            <b/>
            <sz val="9"/>
            <color indexed="81"/>
            <rFont val="Tahoma"/>
            <family val="2"/>
          </rPr>
          <t>:</t>
        </r>
        <r>
          <rPr>
            <sz val="9"/>
            <color indexed="81"/>
            <rFont val="Tahoma"/>
            <family val="2"/>
          </rPr>
          <t xml:space="preserve">
1603</t>
        </r>
        <r>
          <rPr>
            <sz val="9"/>
            <color indexed="81"/>
            <rFont val="宋体"/>
            <family val="3"/>
            <charset val="134"/>
          </rPr>
          <t>百跃世纪</t>
        </r>
      </text>
    </comment>
    <comment ref="D32" authorId="0" shapeId="0" xr:uid="{00000000-0006-0000-3000-00001B000000}">
      <text>
        <r>
          <rPr>
            <b/>
            <sz val="9"/>
            <rFont val="Tahoma"/>
            <family val="2"/>
          </rPr>
          <t>China:</t>
        </r>
        <r>
          <rPr>
            <sz val="9"/>
            <rFont val="Tahoma"/>
            <family val="2"/>
          </rPr>
          <t xml:space="preserve">
</t>
        </r>
        <r>
          <rPr>
            <sz val="9"/>
            <rFont val="宋体"/>
            <family val="3"/>
            <charset val="134"/>
          </rPr>
          <t xml:space="preserve">络可英（北京）国际信息技术有限公司
</t>
        </r>
        <r>
          <rPr>
            <sz val="9"/>
            <rFont val="Tahoma"/>
            <family val="2"/>
          </rPr>
          <t>2020.3</t>
        </r>
        <r>
          <rPr>
            <sz val="9"/>
            <rFont val="宋体"/>
            <family val="3"/>
            <charset val="134"/>
          </rPr>
          <t>换签</t>
        </r>
      </text>
    </comment>
    <comment ref="W33" authorId="2" shapeId="0" xr:uid="{00000000-0006-0000-3000-00001C000000}">
      <text>
        <r>
          <rPr>
            <b/>
            <sz val="9"/>
            <color indexed="81"/>
            <rFont val="宋体"/>
            <family val="3"/>
            <charset val="134"/>
          </rPr>
          <t>商向玉</t>
        </r>
        <r>
          <rPr>
            <b/>
            <sz val="9"/>
            <color indexed="81"/>
            <rFont val="Tahoma"/>
            <family val="2"/>
          </rPr>
          <t>:</t>
        </r>
        <r>
          <rPr>
            <sz val="9"/>
            <color indexed="81"/>
            <rFont val="Tahoma"/>
            <family val="2"/>
          </rPr>
          <t xml:space="preserve">
1702</t>
        </r>
        <r>
          <rPr>
            <sz val="9"/>
            <color indexed="81"/>
            <rFont val="宋体"/>
            <family val="3"/>
            <charset val="134"/>
          </rPr>
          <t>时尚星</t>
        </r>
      </text>
    </comment>
    <comment ref="X33" authorId="2" shapeId="0" xr:uid="{00000000-0006-0000-3000-00001D000000}">
      <text>
        <r>
          <rPr>
            <b/>
            <sz val="9"/>
            <color indexed="81"/>
            <rFont val="宋体"/>
            <family val="3"/>
            <charset val="134"/>
          </rPr>
          <t>商向玉</t>
        </r>
        <r>
          <rPr>
            <b/>
            <sz val="9"/>
            <color indexed="81"/>
            <rFont val="Tahoma"/>
            <family val="2"/>
          </rPr>
          <t>:</t>
        </r>
        <r>
          <rPr>
            <sz val="9"/>
            <color indexed="81"/>
            <rFont val="Tahoma"/>
            <family val="2"/>
          </rPr>
          <t xml:space="preserve">
1702</t>
        </r>
        <r>
          <rPr>
            <sz val="9"/>
            <color indexed="81"/>
            <rFont val="宋体"/>
            <family val="3"/>
            <charset val="134"/>
          </rPr>
          <t>时尚星</t>
        </r>
      </text>
    </comment>
    <comment ref="D35" authorId="2" shapeId="0" xr:uid="{00000000-0006-0000-3000-00001E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原合同南通金荣达智能科技有限公司</t>
        </r>
      </text>
    </comment>
    <comment ref="W35" authorId="2" shapeId="0" xr:uid="{00000000-0006-0000-3000-00001F000000}">
      <text>
        <r>
          <rPr>
            <b/>
            <sz val="9"/>
            <color indexed="81"/>
            <rFont val="宋体"/>
            <family val="3"/>
            <charset val="134"/>
          </rPr>
          <t>商向玉</t>
        </r>
        <r>
          <rPr>
            <b/>
            <sz val="9"/>
            <color indexed="81"/>
            <rFont val="Tahoma"/>
            <family val="2"/>
          </rPr>
          <t>:</t>
        </r>
        <r>
          <rPr>
            <sz val="9"/>
            <color indexed="81"/>
            <rFont val="Tahoma"/>
            <family val="2"/>
          </rPr>
          <t xml:space="preserve">
1703</t>
        </r>
        <r>
          <rPr>
            <sz val="9"/>
            <color indexed="81"/>
            <rFont val="宋体"/>
            <family val="3"/>
            <charset val="134"/>
          </rPr>
          <t>创颖科技</t>
        </r>
      </text>
    </comment>
    <comment ref="X35" authorId="2" shapeId="0" xr:uid="{00000000-0006-0000-3000-000020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创颖科技</t>
        </r>
      </text>
    </comment>
    <comment ref="D36" authorId="2" shapeId="0" xr:uid="{00000000-0006-0000-3000-000021000000}">
      <text>
        <r>
          <rPr>
            <b/>
            <sz val="9"/>
            <rFont val="宋体"/>
            <family val="3"/>
            <charset val="134"/>
          </rPr>
          <t>商向玉:</t>
        </r>
        <r>
          <rPr>
            <sz val="9"/>
            <rFont val="宋体"/>
            <family val="3"/>
            <charset val="134"/>
          </rPr>
          <t xml:space="preserve">
焱能（北京）能源管理技术有限公司</t>
        </r>
      </text>
    </comment>
    <comment ref="Y40" authorId="2" shapeId="0" xr:uid="{00000000-0006-0000-3000-000022000000}">
      <text>
        <r>
          <rPr>
            <b/>
            <sz val="9"/>
            <color indexed="81"/>
            <rFont val="宋体"/>
            <family val="3"/>
            <charset val="134"/>
          </rPr>
          <t>商向玉</t>
        </r>
        <r>
          <rPr>
            <b/>
            <sz val="9"/>
            <color indexed="81"/>
            <rFont val="Tahoma"/>
            <family val="2"/>
          </rPr>
          <t>:</t>
        </r>
        <r>
          <rPr>
            <sz val="9"/>
            <color indexed="81"/>
            <rFont val="Tahoma"/>
            <family val="2"/>
          </rPr>
          <t xml:space="preserve">
1806</t>
        </r>
        <r>
          <rPr>
            <sz val="9"/>
            <color indexed="81"/>
            <rFont val="宋体"/>
            <family val="3"/>
            <charset val="134"/>
          </rPr>
          <t>恩希童品</t>
        </r>
      </text>
    </comment>
    <comment ref="P50" authorId="4" shapeId="0" xr:uid="{00000000-0006-0000-3000-000023000000}">
      <text>
        <r>
          <rPr>
            <b/>
            <sz val="9"/>
            <rFont val="宋体"/>
            <family val="3"/>
            <charset val="134"/>
          </rPr>
          <t xml:space="preserve">2024.10.20开始每年递增8%
</t>
        </r>
      </text>
    </comment>
    <comment ref="P51" authorId="4" shapeId="0" xr:uid="{00000000-0006-0000-3000-000024000000}">
      <text>
        <r>
          <rPr>
            <sz val="9"/>
            <rFont val="宋体"/>
            <family val="3"/>
            <charset val="134"/>
          </rPr>
          <t xml:space="preserve">2024.10.20开始每两年递增8%
</t>
        </r>
      </text>
    </comment>
    <comment ref="D52" authorId="2" shapeId="0" xr:uid="{00000000-0006-0000-3000-00002500000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西安比思科半导体设备有限公司换签</t>
        </r>
      </text>
    </comment>
    <comment ref="D56" authorId="5" shapeId="0" xr:uid="{00000000-0006-0000-3000-000026000000}">
      <text>
        <r>
          <rPr>
            <sz val="9"/>
            <color indexed="81"/>
            <rFont val="宋体"/>
            <family val="3"/>
            <charset val="134"/>
          </rPr>
          <t>北京泽桥传媒科技有限公司-更名</t>
        </r>
      </text>
    </comment>
    <comment ref="M56" authorId="2" shapeId="0" xr:uid="{00000000-0006-0000-3000-000027000000}">
      <text>
        <r>
          <rPr>
            <b/>
            <sz val="9"/>
            <color indexed="81"/>
            <rFont val="宋体"/>
            <family val="3"/>
            <charset val="134"/>
          </rPr>
          <t>商向玉</t>
        </r>
        <r>
          <rPr>
            <b/>
            <sz val="9"/>
            <color indexed="81"/>
            <rFont val="Tahoma"/>
            <family val="2"/>
          </rPr>
          <t>:</t>
        </r>
        <r>
          <rPr>
            <sz val="9"/>
            <color indexed="81"/>
            <rFont val="Tahoma"/>
            <family val="2"/>
          </rPr>
          <t xml:space="preserve">
2018.4.1-2021.3.31</t>
        </r>
        <r>
          <rPr>
            <sz val="9"/>
            <color indexed="81"/>
            <rFont val="宋体"/>
            <family val="3"/>
            <charset val="134"/>
          </rPr>
          <t>单价</t>
        </r>
        <r>
          <rPr>
            <sz val="9"/>
            <color indexed="81"/>
            <rFont val="Tahoma"/>
            <family val="2"/>
          </rPr>
          <t>6.5
2021.4.1</t>
        </r>
        <r>
          <rPr>
            <sz val="9"/>
            <color indexed="81"/>
            <rFont val="宋体"/>
            <family val="3"/>
            <charset val="134"/>
          </rPr>
          <t>开始每年递增</t>
        </r>
        <r>
          <rPr>
            <sz val="9"/>
            <color indexed="81"/>
            <rFont val="Tahoma"/>
            <family val="2"/>
          </rPr>
          <t>10%
2021.4.1-2022.3.31</t>
        </r>
        <r>
          <rPr>
            <sz val="9"/>
            <color indexed="81"/>
            <rFont val="宋体"/>
            <family val="3"/>
            <charset val="134"/>
          </rPr>
          <t>单价</t>
        </r>
        <r>
          <rPr>
            <sz val="9"/>
            <color indexed="81"/>
            <rFont val="Tahoma"/>
            <family val="2"/>
          </rPr>
          <t>7.15
2022.4.1-2023.3.31</t>
        </r>
        <r>
          <rPr>
            <sz val="9"/>
            <color indexed="81"/>
            <rFont val="宋体"/>
            <family val="3"/>
            <charset val="134"/>
          </rPr>
          <t>单价</t>
        </r>
        <r>
          <rPr>
            <sz val="9"/>
            <color indexed="81"/>
            <rFont val="Tahoma"/>
            <family val="2"/>
          </rPr>
          <t>7.865</t>
        </r>
      </text>
    </comment>
    <comment ref="P56" authorId="2" shapeId="0" xr:uid="{00000000-0006-0000-3000-000028000000}">
      <text>
        <r>
          <rPr>
            <b/>
            <sz val="9"/>
            <color indexed="81"/>
            <rFont val="宋体"/>
            <family val="3"/>
            <charset val="134"/>
          </rPr>
          <t>商向玉</t>
        </r>
        <r>
          <rPr>
            <b/>
            <sz val="9"/>
            <color indexed="81"/>
            <rFont val="Tahoma"/>
            <family val="2"/>
          </rPr>
          <t>:</t>
        </r>
        <r>
          <rPr>
            <sz val="9"/>
            <color indexed="81"/>
            <rFont val="Tahoma"/>
            <family val="2"/>
          </rPr>
          <t xml:space="preserve">
2021.4.1</t>
        </r>
        <r>
          <rPr>
            <sz val="9"/>
            <color indexed="81"/>
            <rFont val="宋体"/>
            <family val="3"/>
            <charset val="134"/>
          </rPr>
          <t>开始每年递增</t>
        </r>
        <r>
          <rPr>
            <sz val="9"/>
            <color indexed="81"/>
            <rFont val="Tahoma"/>
            <family val="2"/>
          </rPr>
          <t>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300-000004000000}">
      <text>
        <r>
          <rPr>
            <sz val="11"/>
            <color indexed="81"/>
            <rFont val="宋体"/>
            <family val="3"/>
            <charset val="134"/>
          </rPr>
          <t>在建项目均选择“是”</t>
        </r>
      </text>
    </comment>
    <comment ref="F59" authorId="1" shapeId="0" xr:uid="{00000000-0006-0000-1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300-000006000000}">
      <text>
        <r>
          <rPr>
            <sz val="10"/>
            <color indexed="81"/>
            <rFont val="宋体"/>
            <family val="3"/>
            <charset val="134"/>
          </rPr>
          <t xml:space="preserve">在建
</t>
        </r>
      </text>
    </comment>
    <comment ref="N59" authorId="0" shapeId="0" xr:uid="{00000000-0006-0000-13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<sst xmlns="http://schemas.openxmlformats.org/spreadsheetml/2006/main" count="8804" uniqueCount="3869">
  <si>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</si>
  <si>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</si>
  <si>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</si>
  <si>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</si>
  <si>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</si>
  <si>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</si>
  <si>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</si>
  <si>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</si>
  <si>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</si>
  <si>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</si>
  <si>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</si>
  <si>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</si>
  <si>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</si>
  <si>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</si>
  <si>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</si>
  <si>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</si>
  <si>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</si>
  <si>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</si>
  <si>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</si>
  <si>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</si>
  <si>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</si>
  <si>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</si>
  <si>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</si>
  <si>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</si>
  <si>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</si>
  <si>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</si>
  <si>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</si>
  <si>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</si>
  <si>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</si>
  <si>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</si>
  <si>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</si>
  <si>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</si>
  <si>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</si>
  <si>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</si>
  <si>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</si>
  <si>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</si>
  <si>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</si>
  <si>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</si>
  <si>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</si>
  <si>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</si>
  <si>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</si>
  <si>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</si>
  <si>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</si>
  <si>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</si>
  <si>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</si>
  <si>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</si>
  <si>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</si>
  <si>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</si>
  <si>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</si>
  <si>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</si>
  <si>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</si>
  <si>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</si>
  <si>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</si>
  <si>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</si>
  <si>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</si>
  <si>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</si>
  <si>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</si>
  <si>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</si>
  <si>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</si>
  <si>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</si>
  <si>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</si>
  <si>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</si>
  <si>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</si>
  <si>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</si>
  <si>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</si>
  <si>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</si>
  <si>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</si>
  <si>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</si>
  <si>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</si>
  <si>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</si>
  <si>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</si>
  <si>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</si>
  <si>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</si>
  <si>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</si>
  <si>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</si>
  <si>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</si>
  <si>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</si>
  <si>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</si>
  <si>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</si>
  <si>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</si>
  <si>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</si>
  <si>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</si>
  <si>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</si>
  <si>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</si>
  <si>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</si>
  <si>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</si>
  <si>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</si>
  <si>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</si>
  <si>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</si>
  <si>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</si>
  <si>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</si>
  <si>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</si>
  <si>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</si>
  <si>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</si>
  <si>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</si>
  <si>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</si>
  <si>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</si>
  <si>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</si>
  <si>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</si>
  <si>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</si>
  <si>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</si>
  <si>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</si>
  <si>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</si>
  <si>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</si>
  <si>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</si>
  <si>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</si>
  <si>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</si>
  <si>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</si>
  <si>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</si>
  <si>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</si>
  <si>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</si>
  <si>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</si>
  <si>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</si>
  <si>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</si>
  <si>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</si>
  <si>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</si>
  <si>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</si>
  <si>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</si>
  <si>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</si>
  <si>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</si>
  <si>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</si>
  <si>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</si>
  <si>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</si>
  <si>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</si>
  <si>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</si>
  <si>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</si>
  <si>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</si>
  <si>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</si>
  <si>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</si>
  <si>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</si>
  <si>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</si>
  <si>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</si>
  <si>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</si>
  <si>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</si>
  <si>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</si>
  <si>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</si>
  <si>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</si>
  <si>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</si>
  <si>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</si>
  <si>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</si>
  <si>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</si>
  <si>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</si>
  <si>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</si>
  <si>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</si>
  <si>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</si>
  <si>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</si>
  <si>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</si>
  <si>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</si>
  <si>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</si>
  <si>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</si>
  <si>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</si>
  <si>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</si>
  <si>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</si>
  <si>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</si>
  <si>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</si>
  <si>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</si>
  <si>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</si>
  <si>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</si>
  <si>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</si>
  <si>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</si>
  <si>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</si>
  <si>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</si>
  <si>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</si>
  <si>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</si>
  <si>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</si>
  <si>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</si>
  <si>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</si>
  <si>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</si>
  <si>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</si>
  <si>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</si>
  <si>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</si>
  <si>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</si>
  <si>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</si>
  <si>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</si>
  <si>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</si>
  <si>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</si>
  <si>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</si>
  <si>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</si>
  <si>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</si>
  <si>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</si>
  <si>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</si>
  <si>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</si>
  <si>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</si>
  <si>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</si>
  <si>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</si>
  <si>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</si>
  <si>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</si>
  <si>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</si>
  <si>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</si>
  <si>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</si>
  <si>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</si>
  <si>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</si>
  <si>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</si>
  <si>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</si>
  <si>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</si>
  <si>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</si>
  <si>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</si>
  <si>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</si>
  <si>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</si>
  <si>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</si>
  <si>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</si>
  <si>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</si>
  <si>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</si>
  <si>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</si>
  <si>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</si>
  <si>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</si>
  <si>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</si>
  <si>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</si>
  <si>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</si>
  <si>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</si>
  <si>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</si>
  <si>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</si>
  <si>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</si>
  <si>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</si>
  <si>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</si>
  <si>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</si>
  <si>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</si>
  <si>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</si>
  <si>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</si>
  <si>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</si>
  <si>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</si>
  <si>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</si>
  <si>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</si>
  <si>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</si>
  <si>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</si>
  <si>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</si>
  <si>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</si>
  <si>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</si>
  <si>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</si>
  <si>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</si>
  <si>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</si>
  <si>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</si>
  <si>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</si>
  <si>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</si>
  <si>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</si>
  <si>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</si>
  <si>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</si>
  <si>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</si>
  <si>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</si>
  <si>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</si>
  <si>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</si>
  <si>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</si>
  <si>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</si>
  <si>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</si>
  <si>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</si>
  <si>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</si>
  <si>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</si>
  <si>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</si>
  <si>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</si>
  <si>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</si>
  <si>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</si>
  <si>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</si>
  <si>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</si>
  <si>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</si>
  <si>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</si>
  <si>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</si>
  <si>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</si>
  <si>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</si>
  <si>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</si>
  <si>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</si>
  <si>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</si>
  <si>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</si>
  <si>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</si>
  <si>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</si>
  <si>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</si>
  <si>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</si>
  <si>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</si>
  <si>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</si>
  <si>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</si>
  <si>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</si>
  <si>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</si>
  <si>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</si>
  <si>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</si>
  <si>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</si>
  <si>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</si>
  <si>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</si>
  <si>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</si>
  <si>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</si>
  <si>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</si>
  <si>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</si>
  <si>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</si>
  <si>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</si>
  <si>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</si>
  <si>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</si>
  <si>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</si>
  <si>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</si>
  <si>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</si>
  <si>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</si>
  <si>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</si>
  <si>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</si>
  <si>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</si>
  <si>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</si>
  <si>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</si>
  <si>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</si>
  <si>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</si>
  <si>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</si>
  <si>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</si>
  <si>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</si>
  <si>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</si>
  <si>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</si>
  <si>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</si>
  <si>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</si>
  <si>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</si>
  <si>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</si>
  <si>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</si>
  <si>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</si>
  <si>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</si>
  <si>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</si>
  <si>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</si>
  <si>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</si>
  <si>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</si>
  <si>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</si>
  <si>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</si>
  <si>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</si>
  <si>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</si>
  <si>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</si>
  <si>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</si>
  <si>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</si>
  <si>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</si>
  <si>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</si>
  <si>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</si>
  <si>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</si>
  <si>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</si>
  <si>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</si>
  <si>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</si>
  <si>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</si>
  <si>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</si>
  <si>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</si>
  <si>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</si>
  <si>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</si>
  <si>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</si>
  <si>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</si>
  <si>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</si>
  <si>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</si>
  <si>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</si>
  <si>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</si>
  <si>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</si>
  <si>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</si>
  <si>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</si>
  <si>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</si>
  <si>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</si>
  <si>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</si>
  <si>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</si>
  <si>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</si>
  <si>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</si>
  <si>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</si>
  <si>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</si>
  <si>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</si>
  <si>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</si>
  <si>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</si>
  <si>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</si>
  <si>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</si>
  <si>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</si>
  <si>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</si>
  <si>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</si>
  <si>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</si>
  <si>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</si>
  <si>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</si>
  <si>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</si>
  <si>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</si>
  <si>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</si>
  <si>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</si>
  <si>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</si>
  <si>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</si>
  <si>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</si>
  <si>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</si>
  <si>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</si>
  <si>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</si>
  <si>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</si>
  <si>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</si>
  <si>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</si>
  <si>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</si>
  <si>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</si>
  <si>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</si>
  <si>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</si>
  <si>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</si>
  <si>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</si>
  <si>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</si>
  <si>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</si>
  <si>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</si>
  <si>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</si>
  <si>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</si>
  <si>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</si>
  <si>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</si>
  <si>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</si>
  <si>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</si>
  <si>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</si>
  <si>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</si>
  <si>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</si>
  <si>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</si>
  <si>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</si>
  <si>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</si>
  <si>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</si>
  <si>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</si>
  <si>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</si>
  <si>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</si>
  <si>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</si>
  <si>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</si>
  <si>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</si>
  <si>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</si>
  <si>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</si>
  <si>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</si>
  <si>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</si>
  <si>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</si>
  <si>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</si>
  <si>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</si>
  <si>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</si>
  <si>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</si>
  <si>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</si>
  <si>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</si>
  <si>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</si>
  <si>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</si>
  <si>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</si>
  <si>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</si>
  <si>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</si>
  <si>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</si>
  <si>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</si>
  <si>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</si>
  <si>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</si>
  <si>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</si>
  <si>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</si>
  <si>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</si>
  <si>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</si>
  <si>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</si>
  <si>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</si>
  <si>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</si>
  <si>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</si>
  <si>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</si>
  <si>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</si>
  <si>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</si>
  <si>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</si>
  <si>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</si>
  <si>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</si>
  <si>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</si>
  <si>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</si>
  <si>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</si>
  <si>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</si>
  <si>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</si>
  <si>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</si>
  <si>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</si>
  <si>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</si>
  <si>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</si>
  <si>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</si>
  <si>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</si>
  <si>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</si>
  <si>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</si>
  <si>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</si>
  <si>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</si>
  <si>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</si>
  <si>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</si>
  <si>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</si>
  <si>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</si>
  <si>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</si>
  <si>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</si>
  <si>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</si>
  <si>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</si>
  <si>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</si>
  <si>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</si>
  <si>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</si>
  <si>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</si>
  <si>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</si>
  <si>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</si>
  <si>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</si>
  <si>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</si>
  <si>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</si>
  <si>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</si>
  <si>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</si>
  <si>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</si>
  <si>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</si>
  <si>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</si>
  <si>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</si>
  <si>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</si>
  <si>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</si>
  <si>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</si>
  <si>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</si>
  <si>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</si>
  <si>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</si>
  <si>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</si>
  <si>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</si>
  <si>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</si>
  <si>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</si>
  <si>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</si>
  <si>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</si>
  <si>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</si>
  <si>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</si>
  <si>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</si>
  <si>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</si>
  <si>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</si>
  <si>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</si>
  <si>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</si>
  <si>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</si>
  <si>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</si>
  <si>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</si>
  <si>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</si>
  <si>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</si>
  <si>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</si>
  <si>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</si>
  <si>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</si>
  <si>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</si>
  <si>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</si>
  <si>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</si>
  <si>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</si>
  <si>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</si>
  <si>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</si>
  <si>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</si>
  <si>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</si>
  <si>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</si>
  <si>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</si>
  <si>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</si>
  <si>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</si>
  <si>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</si>
  <si>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</si>
  <si>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</si>
  <si>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</si>
  <si>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</si>
  <si>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</si>
  <si>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</si>
  <si>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</si>
  <si>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</si>
  <si>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</si>
  <si>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</si>
  <si>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</si>
  <si>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</si>
  <si>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</si>
  <si>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</si>
  <si>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</si>
  <si>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</si>
  <si>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</si>
  <si>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</si>
  <si>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</si>
  <si>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</si>
  <si>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</si>
  <si>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</si>
  <si>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</si>
  <si>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</si>
  <si>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</si>
  <si>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</si>
  <si>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</si>
  <si>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</si>
  <si>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</si>
  <si>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</si>
  <si>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</si>
  <si>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</si>
  <si>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</si>
  <si>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</si>
  <si>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</si>
  <si>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</si>
  <si>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</si>
  <si>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</si>
  <si>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</si>
  <si>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</si>
  <si>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</si>
  <si>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</si>
  <si>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</si>
  <si>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</si>
  <si>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</si>
  <si>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</si>
  <si>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</si>
  <si>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</si>
  <si>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</si>
  <si>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</si>
  <si>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</si>
  <si>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</si>
  <si>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</si>
  <si>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</si>
  <si>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</si>
  <si>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</si>
  <si>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</si>
  <si>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</si>
  <si>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</si>
  <si>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</si>
  <si>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</si>
  <si>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</si>
  <si>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</si>
  <si>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</si>
  <si>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</si>
  <si>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</si>
  <si>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</si>
  <si>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</si>
  <si>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</si>
  <si>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</si>
  <si>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</si>
  <si>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</si>
  <si>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</si>
  <si>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</si>
  <si>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</si>
  <si>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</si>
  <si>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</si>
  <si>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</si>
  <si>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</si>
  <si>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</si>
  <si>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</si>
  <si>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</si>
  <si>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</si>
  <si>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</si>
  <si>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</si>
  <si>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</si>
  <si>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</si>
  <si>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</si>
  <si>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</si>
  <si>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</si>
  <si>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</si>
  <si>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</si>
  <si>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</si>
  <si>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</si>
  <si>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</si>
  <si>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</si>
  <si>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</si>
  <si>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</si>
  <si>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</si>
  <si>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</si>
  <si>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</si>
  <si>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</si>
  <si>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</si>
  <si>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</si>
  <si>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</si>
  <si>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</si>
  <si>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</si>
  <si>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</si>
  <si>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</si>
  <si>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</si>
  <si>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</si>
  <si>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</si>
  <si>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</si>
  <si>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</si>
  <si>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</si>
  <si>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</si>
  <si>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</si>
  <si>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</si>
  <si>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</si>
  <si>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</si>
  <si>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</si>
  <si>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</si>
  <si>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</si>
  <si>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</si>
  <si>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</si>
  <si>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</si>
  <si>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</si>
  <si>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</si>
  <si>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</si>
  <si>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</si>
  <si>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</si>
  <si>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</si>
  <si>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</si>
  <si>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</si>
  <si>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</si>
  <si>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</si>
  <si>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</si>
  <si>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</si>
  <si>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</si>
  <si>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</si>
  <si>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</si>
  <si>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</si>
  <si>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</si>
  <si>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</si>
  <si>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</si>
  <si>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</si>
  <si>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</si>
  <si>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</si>
  <si>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</si>
  <si>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</si>
  <si>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</si>
  <si>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</si>
  <si>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</si>
  <si>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</si>
  <si>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</si>
  <si>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</si>
  <si>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</si>
  <si>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</si>
  <si>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</si>
  <si>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</si>
  <si>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</si>
  <si>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</si>
  <si>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</si>
  <si>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</si>
  <si>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</si>
  <si>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</si>
  <si>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</si>
  <si>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</si>
  <si>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</si>
  <si>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</si>
  <si>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</si>
  <si>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</si>
  <si>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</si>
  <si>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</si>
  <si>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</si>
  <si>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</si>
  <si>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</si>
  <si>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</si>
  <si>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</si>
  <si>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</si>
  <si>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</si>
  <si>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</si>
  <si>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</si>
  <si>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</si>
  <si>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</si>
  <si>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</si>
  <si>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</si>
  <si>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</si>
  <si>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</si>
  <si>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</si>
  <si>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</si>
  <si>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</si>
  <si>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</si>
  <si>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</si>
  <si>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</si>
  <si>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</si>
  <si>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</si>
  <si>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</si>
  <si>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</si>
  <si>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</si>
  <si>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</si>
  <si>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</si>
  <si>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</si>
  <si>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</si>
  <si>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</si>
  <si>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</si>
  <si>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</si>
  <si>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</si>
  <si>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</si>
  <si>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</si>
  <si>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</si>
  <si>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</si>
  <si>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</si>
  <si>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</si>
  <si>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</si>
  <si>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</si>
  <si>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</si>
  <si>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</si>
  <si>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</si>
  <si>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</si>
  <si>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</si>
  <si>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</si>
  <si>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</si>
  <si>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</si>
  <si>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</si>
  <si>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</si>
  <si>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</si>
  <si>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</si>
  <si>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</si>
  <si>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</si>
  <si>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</si>
  <si>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</si>
  <si>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</si>
  <si>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</si>
  <si>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</si>
  <si>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</si>
  <si>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</si>
  <si>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</si>
  <si>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</si>
  <si>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</si>
  <si>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</si>
  <si>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</si>
  <si>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</si>
  <si>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</si>
  <si>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</si>
  <si>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</si>
  <si>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</si>
  <si>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</si>
  <si>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</si>
  <si>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</si>
  <si>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</si>
  <si>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</si>
  <si>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</si>
  <si>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</si>
  <si>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</si>
  <si>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</si>
  <si>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</si>
  <si>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</si>
  <si>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</si>
  <si>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</si>
  <si>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</si>
  <si>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</si>
  <si>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</si>
  <si>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</si>
  <si>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</si>
  <si>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</si>
  <si>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</si>
  <si>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</si>
  <si>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</si>
  <si>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</si>
  <si>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</si>
  <si>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</si>
  <si>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</si>
  <si>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</si>
  <si>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</si>
  <si>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</si>
  <si>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</si>
  <si>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</si>
  <si>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</si>
  <si>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</si>
  <si>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</si>
  <si>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</si>
  <si>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</si>
  <si>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</si>
  <si>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</si>
  <si>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</si>
  <si>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</si>
  <si>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</si>
  <si>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</si>
  <si>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</si>
  <si>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</si>
  <si>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</si>
  <si>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</si>
  <si>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</si>
  <si>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</si>
  <si>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</si>
  <si>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</si>
  <si>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</si>
  <si>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</si>
  <si>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</si>
  <si>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</si>
  <si>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</si>
  <si>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</si>
  <si>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</si>
  <si>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</si>
  <si>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</si>
  <si>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</si>
  <si>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</si>
  <si>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</si>
  <si>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</si>
  <si>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</si>
  <si>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</si>
  <si>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</si>
  <si>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</si>
  <si>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</si>
  <si>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</si>
  <si>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</si>
  <si>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</si>
  <si>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</si>
  <si>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</si>
  <si>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</si>
  <si>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</si>
  <si>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</si>
  <si>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</si>
  <si>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</si>
  <si>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</si>
  <si>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</si>
  <si>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</si>
  <si>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</si>
  <si>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</si>
  <si>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</si>
  <si>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</si>
  <si>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</si>
  <si>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</si>
  <si>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</si>
  <si>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</si>
  <si>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</si>
  <si>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</si>
  <si>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</si>
  <si>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</si>
  <si>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</si>
  <si>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</si>
  <si>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</si>
  <si>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</si>
  <si>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</si>
  <si>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</si>
  <si>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</si>
  <si>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</si>
  <si>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</si>
  <si>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</si>
  <si>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</si>
  <si>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</si>
  <si>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</si>
  <si>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</si>
  <si>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</si>
  <si>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</si>
  <si>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</si>
  <si>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</si>
  <si>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</si>
  <si>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</si>
  <si>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</si>
  <si>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</si>
  <si>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</si>
  <si>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</si>
  <si>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</si>
  <si>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</si>
  <si>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</si>
  <si>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</si>
  <si>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</si>
  <si>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</si>
  <si>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</si>
  <si>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</si>
  <si>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</si>
  <si>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</si>
  <si>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</si>
  <si>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</si>
  <si>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</si>
  <si>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</si>
  <si>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</si>
  <si>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</si>
  <si>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</si>
  <si>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</si>
  <si>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</si>
  <si>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</si>
  <si>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</si>
  <si>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</si>
  <si>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</si>
  <si>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</si>
  <si>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</si>
  <si>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</si>
  <si>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</si>
  <si>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</si>
  <si>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</si>
  <si>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</si>
  <si>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</si>
  <si>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</si>
  <si>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</si>
  <si>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</si>
  <si>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</si>
  <si>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</si>
  <si>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</si>
  <si>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</si>
  <si>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</si>
  <si>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</si>
  <si>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</si>
  <si>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</si>
  <si>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</si>
  <si>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</si>
  <si>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</si>
  <si>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</si>
  <si>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</si>
  <si>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</si>
  <si>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</si>
  <si>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</si>
  <si>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</si>
  <si>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</si>
  <si>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</si>
  <si>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</si>
  <si>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</si>
  <si>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</si>
  <si>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</si>
  <si>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</si>
  <si>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</si>
  <si>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</si>
  <si>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</si>
  <si>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</si>
  <si>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</si>
  <si>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</si>
  <si>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</si>
  <si>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</si>
  <si>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</si>
  <si>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</si>
  <si>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</si>
  <si>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</si>
  <si>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</si>
  <si>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</si>
  <si>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</si>
  <si>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</si>
  <si>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</si>
  <si>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</si>
  <si>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</si>
  <si>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</si>
  <si>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</si>
  <si>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</si>
  <si>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</si>
  <si>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</si>
  <si>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</si>
  <si>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</si>
  <si>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</si>
  <si>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</si>
  <si>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</si>
  <si>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</si>
  <si>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</si>
  <si>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</si>
  <si>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</si>
  <si>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</si>
  <si>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</si>
  <si>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</si>
  <si>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</si>
  <si>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</si>
  <si>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</si>
  <si>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</si>
  <si>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</si>
  <si>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</si>
  <si>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</si>
  <si>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</si>
  <si>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</si>
  <si>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</si>
  <si>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</si>
  <si>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</si>
  <si>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</si>
  <si>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</si>
  <si>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</si>
  <si>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</si>
  <si>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</si>
  <si>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</si>
  <si>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</si>
  <si>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</si>
  <si>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</si>
  <si>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</si>
  <si>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</si>
  <si>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</si>
  <si>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</si>
  <si>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</si>
  <si>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</si>
  <si>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</si>
  <si>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</si>
  <si>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</si>
  <si>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</si>
  <si>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</si>
  <si>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</si>
  <si>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</si>
  <si>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</si>
  <si>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</si>
  <si>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</si>
  <si>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</si>
  <si>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</si>
  <si>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</si>
  <si>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</si>
  <si>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</si>
  <si>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</si>
  <si>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</si>
  <si>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</si>
  <si>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</si>
  <si>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</si>
  <si>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</si>
  <si>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</si>
  <si>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</si>
  <si>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</si>
  <si>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</si>
  <si>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</si>
  <si>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</si>
  <si>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</si>
  <si>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</si>
  <si>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</si>
  <si>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</si>
  <si>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</si>
  <si>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</si>
  <si>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</si>
  <si>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</si>
  <si>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</si>
  <si>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</si>
  <si>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</si>
  <si>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</si>
  <si>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</si>
  <si>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</si>
  <si>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</si>
  <si>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</si>
  <si>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</si>
  <si>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</si>
  <si>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</si>
  <si>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</si>
  <si>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</si>
  <si>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</si>
  <si>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</si>
  <si>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</si>
  <si>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</si>
  <si>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</si>
  <si>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</si>
  <si>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</si>
  <si>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</si>
  <si>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</si>
  <si>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</si>
  <si>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</si>
  <si>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</si>
  <si>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</si>
  <si>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</si>
  <si>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</si>
  <si>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</si>
  <si>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</si>
  <si>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</si>
  <si>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</si>
  <si>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</si>
  <si>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</si>
  <si>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</si>
  <si>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</si>
  <si>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</si>
  <si>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</si>
  <si>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</si>
  <si>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</si>
  <si>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</si>
  <si>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</si>
  <si>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</si>
  <si>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</si>
  <si>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</si>
  <si>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</si>
  <si>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</si>
  <si>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</si>
  <si>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</si>
  <si>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</si>
  <si>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</si>
  <si>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</si>
  <si>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</si>
  <si>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</si>
  <si>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</si>
  <si>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</si>
  <si>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</si>
  <si>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</si>
  <si>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</si>
  <si>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</si>
  <si>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</si>
  <si>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</si>
  <si>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</si>
  <si>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</si>
  <si>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</si>
  <si>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</si>
  <si>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</si>
  <si>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</si>
  <si>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</si>
  <si>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</si>
  <si>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</si>
  <si>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</si>
  <si>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</si>
  <si>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</si>
  <si>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</si>
  <si>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</si>
  <si>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</si>
  <si>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</si>
  <si>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</si>
  <si>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</si>
  <si>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</si>
  <si>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</si>
  <si>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</si>
  <si>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</si>
  <si>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</si>
  <si>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</si>
  <si>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</si>
  <si>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</si>
  <si>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</si>
  <si>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</si>
  <si>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</si>
  <si>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</si>
  <si>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</si>
  <si>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</si>
  <si>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</si>
  <si>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</si>
  <si>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</si>
  <si>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</si>
  <si>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</si>
  <si>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</si>
  <si>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</si>
  <si>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</si>
  <si>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</si>
  <si>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</si>
  <si>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</si>
  <si>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</si>
  <si>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</si>
  <si>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</si>
  <si>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</si>
  <si>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</si>
  <si>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</si>
  <si>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</si>
  <si>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</si>
  <si>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</si>
  <si>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</si>
  <si>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</si>
  <si>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</si>
  <si>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</si>
  <si>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</si>
  <si>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</si>
  <si>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</si>
  <si>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</si>
  <si>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</si>
  <si>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</si>
  <si>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</si>
  <si>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</si>
  <si>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</si>
  <si>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</si>
  <si>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</si>
  <si>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</si>
  <si>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</si>
  <si>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</si>
  <si>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</si>
  <si>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</si>
  <si>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</si>
  <si>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</si>
  <si>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</si>
  <si>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</si>
  <si>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</si>
  <si>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</si>
  <si>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</si>
  <si>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</si>
  <si>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</si>
  <si>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</si>
  <si>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</si>
  <si>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</si>
  <si>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</si>
  <si>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</si>
  <si>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</si>
  <si>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</si>
  <si>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</si>
  <si>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</si>
  <si>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</si>
  <si>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</si>
  <si>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</si>
  <si>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</si>
  <si>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</si>
  <si>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</si>
  <si>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</si>
  <si>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</si>
  <si>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</si>
  <si>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</si>
  <si>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</si>
  <si>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</si>
  <si>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</si>
  <si>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</si>
  <si>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</si>
  <si>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</si>
  <si>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</si>
  <si>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</si>
  <si>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</si>
  <si>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</si>
  <si>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</si>
  <si>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</si>
  <si>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</si>
  <si>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</si>
  <si>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</si>
  <si>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</si>
  <si>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</si>
  <si>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</si>
  <si>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</si>
  <si>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</si>
  <si>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</si>
  <si>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</si>
  <si>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</si>
  <si>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</si>
  <si>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</si>
  <si>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</si>
  <si>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</si>
  <si>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</si>
  <si>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</si>
  <si>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</si>
  <si>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</si>
  <si>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</si>
  <si>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</si>
  <si>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</si>
  <si>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</si>
  <si>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</si>
  <si>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</si>
  <si>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</si>
  <si>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</si>
  <si>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</si>
  <si>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</si>
  <si>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</si>
  <si>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</si>
  <si>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</si>
  <si>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</si>
  <si>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</si>
  <si>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</si>
  <si>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</si>
  <si>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</si>
  <si>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</si>
  <si>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</si>
  <si>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</si>
  <si>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</si>
  <si>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</si>
  <si>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</si>
  <si>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</si>
  <si>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</si>
  <si>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</si>
  <si>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</si>
  <si>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</si>
  <si>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</si>
  <si>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</si>
  <si>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</si>
  <si>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</si>
  <si>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</si>
  <si>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</si>
  <si>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</si>
  <si>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</si>
  <si>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</si>
  <si>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</si>
  <si>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</si>
  <si>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</si>
  <si>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</si>
  <si>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</si>
  <si>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</si>
  <si>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</si>
  <si>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</si>
  <si>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</si>
  <si>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</si>
  <si>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</si>
  <si>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</si>
  <si>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</si>
  <si>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</si>
  <si>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</si>
  <si>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</si>
  <si>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</si>
  <si>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</si>
  <si>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</si>
  <si>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</si>
  <si>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</si>
  <si>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</si>
  <si>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</si>
  <si>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</si>
  <si>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</si>
  <si>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</si>
  <si>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</si>
  <si>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</si>
  <si>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</si>
  <si>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</si>
  <si>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</si>
  <si>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</si>
  <si>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</si>
  <si>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</si>
  <si>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</si>
  <si>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</si>
  <si>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</si>
  <si>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</si>
  <si>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</si>
  <si>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</si>
  <si>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</si>
  <si>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</si>
  <si>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</si>
  <si>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</si>
  <si>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</si>
  <si>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</si>
  <si>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</si>
  <si>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</si>
  <si>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</si>
  <si>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</si>
  <si>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</si>
  <si>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</si>
  <si>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</si>
  <si>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</si>
  <si>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</si>
  <si>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</si>
  <si>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</si>
  <si>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</si>
  <si>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</si>
  <si>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</si>
  <si>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</si>
  <si>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</si>
  <si>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</si>
  <si>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</si>
  <si>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</si>
  <si>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</si>
  <si>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</si>
  <si>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</si>
  <si>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</si>
  <si>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</si>
  <si>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</si>
  <si>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</si>
  <si>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</si>
  <si>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</si>
  <si>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</si>
  <si>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</si>
  <si>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</si>
  <si>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</si>
  <si>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</si>
  <si>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</si>
  <si>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</si>
  <si>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</si>
  <si>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</si>
  <si>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</si>
  <si>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</si>
  <si>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</si>
  <si>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</si>
  <si>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</si>
  <si>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</si>
  <si>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</si>
  <si>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</si>
  <si>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</si>
  <si>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</si>
  <si>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</si>
  <si>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</si>
  <si>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</si>
  <si>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</si>
  <si>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</si>
  <si>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</si>
  <si>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</si>
  <si>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</si>
  <si>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</si>
  <si>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</si>
  <si>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</si>
  <si>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</si>
  <si>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</si>
  <si>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</si>
  <si>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</si>
  <si>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</si>
  <si>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</si>
  <si>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</si>
  <si>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</si>
  <si>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</si>
  <si>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</si>
  <si>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</si>
  <si>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</si>
  <si>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</si>
  <si>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</si>
  <si>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</si>
  <si>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</si>
  <si>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</si>
  <si>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</si>
  <si>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</si>
  <si>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</si>
  <si>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</si>
  <si>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</si>
  <si>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</si>
  <si>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</si>
  <si>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</si>
  <si>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</si>
  <si>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</si>
  <si>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</si>
  <si>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</si>
  <si>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</si>
  <si>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</si>
  <si>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</si>
  <si>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</si>
  <si>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</si>
  <si>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</si>
  <si>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</si>
  <si>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</si>
  <si>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</si>
  <si>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</si>
  <si>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</si>
  <si>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</si>
  <si>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</si>
  <si>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</si>
  <si>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</si>
  <si>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</si>
  <si>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</si>
  <si>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</si>
  <si>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</si>
  <si>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</si>
  <si>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</si>
  <si>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</si>
  <si>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</si>
  <si>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</si>
  <si>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</si>
  <si>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</si>
  <si>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</si>
  <si>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</si>
  <si>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</si>
  <si>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</si>
  <si>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</si>
  <si>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</si>
  <si>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</si>
  <si>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</si>
  <si>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</si>
  <si>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</si>
  <si>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</si>
  <si>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</si>
  <si>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</si>
  <si>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</si>
  <si>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</si>
  <si>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</si>
  <si>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</si>
  <si>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</si>
  <si>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</si>
  <si>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</si>
  <si>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</si>
  <si>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</si>
  <si>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</si>
  <si>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</si>
  <si>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</si>
  <si>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</si>
  <si>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</si>
  <si>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</si>
  <si>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</si>
  <si>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</si>
  <si>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</si>
  <si>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</si>
  <si>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</si>
  <si>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</si>
  <si>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</si>
  <si>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</si>
  <si>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</si>
  <si>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</si>
  <si>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</si>
  <si>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</si>
  <si>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</si>
  <si>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</si>
  <si>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</si>
  <si>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</si>
  <si>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</si>
  <si>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</si>
  <si>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</si>
  <si>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</si>
  <si>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</si>
  <si>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</si>
  <si>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</si>
  <si>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</si>
  <si>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</si>
  <si>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</si>
  <si>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</si>
  <si>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</si>
  <si>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</si>
  <si>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</si>
  <si>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</si>
  <si>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</si>
  <si>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</si>
  <si>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</si>
  <si>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</si>
  <si>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</si>
  <si>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</si>
  <si>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</si>
  <si>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</si>
  <si>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</si>
  <si>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</si>
  <si>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</si>
  <si>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</si>
  <si>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</si>
  <si>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</si>
  <si>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</si>
  <si>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</si>
  <si>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</si>
  <si>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</si>
  <si>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</si>
  <si>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</si>
  <si>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</si>
  <si>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</si>
  <si>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</si>
  <si>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</si>
  <si>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</si>
  <si>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</si>
  <si>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</si>
  <si>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</si>
  <si>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</si>
  <si>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</si>
  <si>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</si>
  <si>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</si>
  <si>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</si>
  <si>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</si>
  <si>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</si>
  <si>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</si>
  <si>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</si>
  <si>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</si>
  <si>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</si>
  <si>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</si>
  <si>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</si>
  <si>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</si>
  <si>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</si>
  <si>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</si>
  <si>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</si>
  <si>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</si>
  <si>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</si>
  <si>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</si>
  <si>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</si>
  <si>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</si>
  <si>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</si>
  <si>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</si>
  <si>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</si>
  <si>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</si>
  <si>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</si>
  <si>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</si>
  <si>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</si>
  <si>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</si>
  <si>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</si>
  <si>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</si>
  <si>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</si>
  <si>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</si>
  <si>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</si>
  <si>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</si>
  <si>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</si>
  <si>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</si>
  <si>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</si>
  <si>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</si>
  <si>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</si>
  <si>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</si>
  <si>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</si>
  <si>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</si>
  <si>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</si>
  <si>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</si>
  <si>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</si>
  <si>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</si>
  <si>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</si>
  <si>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</si>
  <si>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</si>
  <si>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</si>
  <si>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</si>
  <si>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</si>
  <si>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</si>
  <si>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</si>
  <si>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</si>
  <si>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</si>
  <si>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</si>
  <si>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</si>
  <si>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</si>
  <si>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</si>
  <si>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</si>
  <si>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</si>
  <si>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</si>
  <si>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</si>
  <si>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</si>
  <si>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</si>
  <si>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</si>
  <si>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</si>
  <si>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</si>
  <si>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</si>
  <si>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</si>
  <si>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</si>
  <si>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</si>
  <si>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</si>
  <si>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</si>
  <si>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</si>
  <si>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</si>
  <si>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</si>
  <si>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</si>
  <si>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</si>
  <si>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</si>
  <si>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</si>
  <si>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</si>
  <si>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</si>
  <si>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</si>
  <si>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</si>
  <si>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</si>
  <si>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</si>
  <si>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</si>
  <si>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</si>
  <si>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</si>
  <si>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</si>
  <si>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</si>
  <si>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</si>
  <si>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</si>
  <si>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</si>
  <si>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</si>
  <si>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</si>
  <si>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</si>
  <si>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</si>
  <si>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</si>
  <si>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</si>
  <si>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</si>
  <si>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</si>
  <si>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</si>
  <si>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</si>
  <si>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</si>
  <si>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</si>
  <si>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</si>
  <si>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</si>
  <si>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</si>
  <si>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</si>
  <si>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</si>
  <si>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</si>
  <si>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</si>
  <si>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</si>
  <si>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</si>
  <si>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</si>
  <si>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</si>
  <si>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</si>
  <si>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</si>
  <si>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</si>
  <si>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</si>
  <si>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</si>
  <si>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</si>
  <si>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</si>
  <si>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</si>
  <si>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</si>
  <si>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</si>
  <si>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</si>
  <si>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</si>
  <si>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</si>
  <si>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</si>
  <si>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</si>
  <si>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</si>
  <si>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</si>
  <si>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</si>
  <si>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</si>
  <si>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</si>
  <si>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</si>
  <si>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</si>
  <si>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</si>
  <si>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</si>
  <si>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</si>
  <si>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</si>
  <si>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</si>
  <si>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</si>
  <si>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</si>
  <si>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</si>
  <si>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</si>
  <si>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</si>
  <si>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</si>
  <si>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</si>
  <si>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</si>
  <si>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</si>
  <si>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</si>
  <si>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</si>
  <si>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</si>
  <si>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</si>
  <si>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</si>
  <si>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</si>
  <si>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</si>
  <si>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</si>
  <si>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</si>
  <si>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</si>
  <si>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</si>
  <si>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</si>
  <si>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</si>
  <si>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</si>
  <si>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</si>
  <si>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</si>
  <si>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</si>
  <si>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</si>
  <si>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</si>
  <si>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</si>
  <si>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</si>
  <si>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</si>
  <si>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</si>
  <si>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</si>
  <si>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</si>
  <si>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</si>
  <si>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</si>
  <si>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</si>
  <si>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</si>
  <si>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</si>
  <si>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</si>
  <si>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</si>
  <si>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</si>
  <si>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</si>
  <si>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</si>
  <si>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</si>
  <si>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</si>
  <si>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</si>
  <si>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</si>
  <si>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</si>
  <si>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</si>
  <si>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</si>
  <si>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</si>
  <si>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</si>
  <si>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</si>
  <si>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</si>
  <si>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</si>
  <si>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</si>
  <si>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</si>
  <si>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</si>
  <si>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</si>
  <si>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</si>
  <si>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</si>
  <si>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</si>
  <si>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</si>
  <si>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</si>
  <si>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</si>
  <si>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</si>
  <si>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</si>
  <si>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</si>
  <si>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</si>
  <si>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</si>
  <si>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</si>
  <si>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</si>
  <si>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</si>
  <si>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</si>
  <si>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</si>
  <si>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</si>
  <si>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</si>
  <si>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</si>
  <si>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</si>
  <si>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</si>
  <si>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</si>
  <si>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</si>
  <si>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</si>
  <si>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</si>
  <si>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</si>
  <si>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</si>
  <si>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</si>
  <si>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</si>
  <si>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</si>
  <si>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</si>
  <si>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</si>
  <si>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</si>
  <si>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</si>
  <si>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</si>
  <si>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</si>
  <si>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</si>
  <si>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</si>
  <si>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</si>
  <si>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</si>
  <si>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</si>
  <si>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</si>
  <si>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</si>
  <si>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</si>
  <si>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</si>
  <si>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</si>
  <si>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</si>
  <si>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</si>
  <si>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</si>
  <si>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</si>
  <si>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</si>
  <si>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</si>
  <si>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</si>
  <si>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</si>
  <si>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</si>
  <si>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</si>
  <si>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</si>
  <si>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</si>
  <si>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</si>
  <si>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</si>
  <si>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</si>
  <si>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</si>
  <si>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</si>
  <si>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</si>
  <si>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</si>
  <si>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</si>
  <si>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</si>
  <si>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</si>
  <si>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</si>
  <si>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</si>
  <si>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</si>
  <si>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</si>
  <si>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</si>
  <si>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</si>
  <si>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</si>
  <si>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</si>
  <si>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</si>
  <si>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</si>
  <si>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</si>
  <si>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</si>
  <si>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</si>
  <si>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</si>
  <si>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</si>
  <si>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</si>
  <si>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</si>
  <si>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</si>
  <si>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</si>
  <si>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</si>
  <si>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</si>
  <si>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</si>
  <si>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</si>
  <si>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</si>
  <si>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</si>
  <si>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</si>
  <si>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</si>
  <si>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</si>
  <si>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</si>
  <si>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</si>
  <si>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</si>
  <si>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</si>
  <si>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</si>
  <si>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</si>
  <si>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</si>
  <si>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</si>
  <si>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</si>
  <si>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</si>
  <si>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</si>
  <si>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</si>
  <si>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</si>
  <si>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</si>
  <si>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</si>
  <si>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</si>
  <si>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</si>
  <si>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</si>
  <si>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</si>
  <si>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</si>
  <si>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</si>
  <si>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</si>
  <si>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</si>
  <si>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</si>
  <si>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</si>
  <si>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</si>
  <si>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</si>
  <si>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</si>
  <si>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</si>
  <si>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</si>
  <si>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</si>
  <si>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</si>
  <si>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</si>
  <si>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</si>
  <si>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</si>
  <si>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</si>
  <si>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</si>
  <si>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</si>
  <si>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</si>
  <si>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</si>
  <si>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</si>
  <si>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</si>
  <si>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</si>
  <si>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</si>
  <si>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</si>
  <si>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</si>
  <si>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</si>
  <si>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</si>
  <si>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</si>
  <si>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</si>
  <si>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</si>
  <si>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</si>
  <si>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</si>
  <si>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</si>
  <si>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</si>
  <si>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</si>
  <si>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</si>
  <si>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</si>
  <si>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</si>
  <si>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</si>
  <si>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</si>
  <si>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</si>
  <si>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</si>
  <si>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</si>
  <si>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</si>
  <si>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</si>
  <si>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</si>
  <si>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</si>
  <si>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</si>
  <si>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</si>
  <si>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</si>
  <si>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</si>
  <si>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</si>
  <si>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</si>
  <si>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</si>
  <si>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</si>
  <si>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</si>
  <si>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</si>
  <si>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</si>
  <si>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</si>
  <si>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</si>
  <si>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</si>
  <si>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</si>
  <si>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</si>
  <si>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</si>
  <si>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</si>
  <si>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</si>
  <si>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</si>
  <si>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</si>
  <si>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</si>
  <si>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</si>
  <si>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</si>
  <si>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</si>
  <si>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</si>
  <si>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</si>
  <si>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</si>
  <si>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</si>
  <si>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</si>
  <si>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</si>
  <si>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</si>
  <si>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</si>
  <si>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</si>
  <si>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</si>
  <si>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</si>
  <si>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</si>
  <si>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</si>
  <si>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</si>
  <si>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</si>
  <si>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</si>
  <si>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</si>
  <si>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</si>
  <si>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</si>
  <si>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</si>
  <si>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</si>
  <si>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</si>
  <si>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</si>
  <si>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</si>
  <si>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</si>
  <si>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</si>
  <si>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</si>
  <si>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</si>
  <si>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</si>
  <si>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</si>
  <si>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</si>
  <si>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</si>
  <si>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</si>
  <si>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</si>
  <si>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</si>
  <si>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</si>
  <si>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</si>
  <si>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</si>
  <si>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</si>
  <si>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</si>
  <si>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</si>
  <si>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</si>
  <si>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</si>
  <si>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</si>
  <si>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</si>
  <si>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</si>
  <si>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</si>
  <si>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</si>
  <si>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</si>
  <si>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</si>
  <si>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</si>
  <si>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</si>
  <si>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</si>
  <si>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</si>
  <si>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</si>
  <si>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</si>
  <si>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</si>
  <si>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</si>
  <si>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</si>
  <si>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</si>
  <si>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</si>
  <si>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</si>
  <si>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</si>
  <si>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</si>
  <si>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</si>
  <si>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</si>
  <si>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</si>
  <si>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</si>
  <si>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</si>
  <si>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</si>
  <si>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</si>
  <si>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</si>
  <si>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</si>
  <si>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</si>
  <si>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</si>
  <si>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</si>
  <si>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</si>
  <si>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</si>
  <si>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</si>
  <si>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</si>
  <si>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</si>
  <si>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</si>
  <si>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</si>
  <si>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</si>
  <si>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</si>
  <si>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</si>
  <si>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</si>
  <si>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</si>
  <si>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</si>
  <si>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</si>
  <si>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</si>
  <si>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</si>
  <si>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</si>
  <si>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</si>
  <si>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</si>
  <si>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</si>
  <si>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</si>
  <si>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</si>
  <si>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</si>
  <si>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</si>
  <si>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</si>
  <si>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</si>
  <si>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</si>
  <si>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</si>
  <si>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</si>
  <si>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</si>
  <si>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</si>
  <si>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</si>
  <si>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</si>
  <si>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</si>
  <si>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</si>
  <si>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</si>
  <si>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</si>
  <si>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</si>
  <si>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</si>
  <si>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</si>
  <si>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</si>
  <si>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</si>
  <si>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</si>
  <si>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</si>
  <si>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</si>
  <si>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</si>
  <si>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</si>
  <si>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</si>
  <si>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</si>
  <si>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</si>
  <si>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</si>
  <si>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</si>
  <si>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</si>
  <si>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</si>
  <si>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</si>
  <si>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</si>
  <si>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</si>
  <si>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</si>
  <si>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</si>
  <si>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</si>
  <si>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</si>
  <si>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</si>
  <si>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</si>
  <si>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</si>
  <si>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</si>
  <si>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</si>
  <si>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</si>
  <si>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</si>
  <si>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</si>
  <si>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</si>
  <si>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</si>
  <si>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</si>
  <si>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</si>
  <si>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</si>
  <si>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</si>
  <si>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</si>
  <si>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</si>
  <si>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</si>
  <si>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</si>
  <si>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</si>
  <si>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</si>
  <si>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</si>
  <si>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</si>
  <si>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</si>
  <si>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</si>
  <si>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</si>
  <si>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</si>
  <si>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</si>
  <si>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</si>
  <si>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</si>
  <si>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</si>
  <si>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</si>
  <si>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</si>
  <si>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</si>
  <si>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</si>
  <si>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</si>
  <si>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</si>
  <si>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</si>
  <si>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</si>
  <si>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</si>
  <si>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</si>
  <si>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</si>
  <si>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</si>
  <si>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</si>
  <si>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</si>
  <si>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</si>
  <si>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</si>
  <si>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</si>
  <si>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</si>
  <si>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</si>
  <si>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</si>
  <si>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</si>
  <si>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</si>
  <si>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</si>
  <si>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</si>
  <si>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</si>
  <si>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</si>
  <si>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</si>
  <si>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</si>
  <si>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</si>
  <si>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</si>
  <si>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</si>
  <si>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</si>
  <si>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</si>
  <si>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</si>
  <si>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</si>
  <si>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</si>
  <si>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</si>
  <si>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</si>
  <si>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</si>
  <si>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</si>
  <si>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</si>
  <si>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</si>
  <si>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</si>
  <si>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</si>
  <si>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</si>
  <si>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</si>
  <si>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</si>
  <si>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</si>
  <si>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</si>
  <si>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</si>
  <si>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</si>
  <si>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</si>
  <si>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</si>
  <si>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</si>
  <si>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</si>
  <si>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</si>
  <si>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</si>
  <si>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</si>
  <si>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</si>
  <si>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</si>
  <si>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</si>
  <si>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</si>
  <si>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</si>
  <si>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</si>
  <si>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</si>
  <si>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</si>
  <si>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</si>
  <si>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</si>
  <si>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</si>
  <si>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</si>
  <si>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</si>
  <si>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</si>
  <si>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</si>
  <si>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</si>
  <si>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</si>
  <si>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</si>
  <si>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</si>
  <si>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</si>
  <si>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</si>
  <si>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</si>
  <si>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</si>
  <si>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</si>
  <si>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</si>
  <si>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</si>
  <si>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</si>
  <si>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</si>
  <si>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</si>
  <si>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</si>
  <si>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</si>
  <si>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</si>
  <si>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</si>
  <si>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</si>
  <si>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</si>
  <si>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</si>
  <si>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</si>
  <si>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</si>
  <si>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</si>
  <si>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</si>
  <si>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</si>
  <si>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</si>
  <si>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</si>
  <si>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</si>
  <si>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</si>
  <si>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</si>
  <si>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</si>
  <si>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</si>
  <si>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</si>
  <si>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</si>
  <si>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</si>
  <si>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</si>
  <si>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</si>
  <si>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</si>
  <si>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</si>
  <si>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</si>
  <si>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</si>
  <si>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</si>
  <si>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</si>
  <si>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</si>
  <si>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</si>
  <si>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</si>
  <si>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</si>
  <si>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</si>
  <si>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</si>
  <si>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</si>
  <si>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</si>
  <si>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</si>
  <si>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</si>
  <si>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</si>
  <si>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</si>
  <si>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</si>
  <si>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</si>
  <si>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</si>
  <si>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</si>
  <si>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</si>
  <si>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</si>
  <si>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</si>
  <si>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</si>
  <si>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</si>
  <si>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</si>
  <si>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</si>
  <si>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</si>
  <si>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</si>
  <si>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</si>
  <si>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</si>
  <si>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</si>
  <si>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</si>
  <si>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</si>
  <si>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</si>
  <si>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</si>
  <si>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</si>
  <si>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</si>
  <si>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</si>
  <si>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</si>
  <si>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</si>
  <si>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</si>
  <si>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</si>
  <si>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</si>
  <si>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</si>
  <si>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</si>
  <si>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</si>
  <si>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</si>
  <si>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</si>
  <si>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</si>
  <si>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</si>
  <si>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</si>
  <si>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</si>
  <si>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</si>
  <si>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</si>
  <si>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</si>
  <si>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</si>
  <si>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</si>
  <si>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</si>
  <si>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</si>
  <si>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</si>
  <si>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</si>
  <si>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</si>
  <si>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</si>
  <si>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</si>
  <si>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</si>
  <si>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</si>
  <si>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</si>
  <si>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</si>
  <si>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</si>
  <si>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</si>
  <si>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</si>
  <si>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</si>
  <si>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</si>
  <si>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</si>
  <si>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</si>
  <si>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</si>
  <si>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</si>
  <si>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</si>
  <si>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</si>
  <si>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</si>
  <si>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</si>
  <si>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</si>
  <si>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</si>
  <si>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</si>
  <si>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</si>
  <si>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</si>
  <si>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</si>
  <si>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</si>
  <si>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</si>
  <si>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</si>
  <si>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</si>
  <si>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</si>
  <si>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</si>
  <si>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</si>
  <si>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</si>
  <si>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</si>
  <si>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</si>
  <si>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</si>
  <si>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</si>
  <si>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</si>
  <si>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</si>
  <si>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</si>
  <si>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</si>
  <si>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</si>
  <si>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</si>
  <si>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</si>
  <si>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</si>
  <si>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</si>
  <si>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</si>
  <si>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</si>
  <si>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</si>
  <si>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</si>
  <si>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</si>
  <si>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</si>
  <si>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</si>
  <si>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</si>
  <si>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</si>
  <si>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</si>
  <si>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</si>
  <si>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</si>
  <si>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</si>
  <si>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</si>
  <si>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</si>
  <si>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</si>
  <si>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</si>
  <si>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</si>
  <si>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</si>
  <si>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</si>
  <si>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</si>
  <si>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</si>
  <si>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</si>
  <si>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</si>
  <si>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</si>
  <si>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</si>
  <si>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</si>
  <si>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</si>
  <si>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</si>
  <si>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</si>
  <si>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</si>
  <si>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</si>
  <si>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</si>
  <si>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</si>
  <si>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</si>
  <si>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</si>
  <si>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</si>
  <si>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</si>
  <si>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</si>
  <si>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</si>
  <si>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</si>
  <si>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</si>
  <si>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</si>
  <si>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</si>
  <si>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</si>
  <si>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</si>
  <si>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</si>
  <si>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</si>
  <si>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</si>
  <si>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</si>
  <si>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</si>
  <si>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</si>
  <si>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</si>
  <si>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</si>
  <si>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</si>
  <si>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</si>
  <si>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</si>
  <si>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</si>
  <si>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</si>
  <si>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</si>
  <si>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</si>
  <si>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</si>
  <si>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</si>
  <si>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</si>
  <si>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</si>
  <si>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</si>
  <si>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</si>
  <si>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</si>
  <si>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</si>
  <si>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</si>
  <si>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</si>
  <si>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</si>
  <si>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</si>
  <si>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</si>
  <si>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</si>
  <si>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</si>
  <si>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</si>
  <si>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</si>
  <si>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</si>
  <si>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</si>
  <si>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</si>
  <si>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</si>
  <si>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</si>
  <si>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</si>
  <si>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</si>
  <si>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</si>
  <si>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</si>
  <si>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</si>
  <si>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</si>
  <si>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</si>
  <si>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</si>
  <si>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</si>
  <si>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</si>
  <si>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</si>
  <si>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</si>
  <si>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</si>
  <si>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</si>
  <si>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</si>
  <si>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</si>
  <si>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</si>
  <si>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</si>
  <si>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</si>
  <si>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</si>
  <si>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</si>
  <si>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</si>
  <si>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</si>
  <si>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</si>
  <si>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</si>
  <si>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</si>
  <si>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</si>
  <si>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</si>
  <si>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</si>
  <si>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</si>
  <si>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</si>
  <si>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</si>
  <si>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</si>
  <si>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</si>
  <si>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</si>
  <si>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</si>
  <si>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</si>
  <si>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</si>
  <si>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</si>
  <si>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</si>
  <si>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</si>
  <si>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</si>
  <si>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</si>
  <si>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</si>
  <si>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</si>
  <si>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</si>
  <si>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</si>
  <si>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</si>
  <si>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</si>
  <si>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</si>
  <si>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</si>
  <si>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</si>
  <si>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</si>
  <si>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</si>
  <si>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</si>
  <si>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</si>
  <si>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</si>
  <si>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</si>
  <si>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</si>
  <si>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</si>
  <si>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</si>
  <si>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</si>
  <si>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</si>
  <si>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</si>
  <si>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</si>
  <si>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</si>
  <si>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</si>
  <si>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</si>
  <si>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</si>
  <si>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</si>
  <si>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</si>
  <si>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</si>
  <si>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</si>
  <si>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</si>
  <si>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</si>
  <si>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</si>
  <si>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</si>
  <si>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</si>
  <si>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</si>
  <si>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</si>
  <si>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</si>
  <si>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</si>
  <si>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</si>
  <si>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</si>
  <si>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</si>
  <si>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</si>
  <si>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</si>
  <si>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</si>
  <si>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</si>
  <si>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</si>
  <si>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</si>
  <si>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</si>
  <si>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</si>
  <si>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</si>
  <si>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</si>
  <si>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</si>
  <si>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</si>
  <si>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</si>
  <si>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</si>
  <si>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</si>
  <si>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</si>
  <si>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</si>
  <si>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</si>
  <si>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</si>
  <si>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</si>
  <si>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</si>
  <si>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</si>
  <si>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</si>
  <si>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</si>
  <si>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</si>
  <si>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</si>
  <si>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</si>
  <si>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</si>
  <si>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</si>
  <si>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</si>
  <si>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</si>
  <si>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</si>
  <si>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</si>
  <si>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</si>
  <si>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</si>
  <si>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</si>
  <si>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</si>
  <si>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</si>
  <si>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</si>
  <si>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</si>
  <si>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</si>
  <si>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</si>
  <si>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</si>
  <si>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</si>
  <si>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</si>
  <si>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</si>
  <si>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</si>
  <si>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</si>
  <si>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</si>
  <si>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</si>
  <si>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</si>
  <si>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</si>
  <si>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</si>
  <si>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</si>
  <si>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</si>
  <si>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</si>
  <si>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</si>
  <si>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</si>
  <si>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</si>
  <si>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</si>
  <si>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</si>
  <si>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</si>
  <si>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</si>
  <si>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</si>
  <si>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</si>
  <si>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</si>
  <si>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</si>
  <si>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</si>
  <si>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</si>
  <si>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</si>
  <si>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</si>
  <si>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</si>
  <si>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</si>
  <si>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</si>
  <si>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</si>
  <si>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</si>
  <si>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</si>
  <si>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</si>
  <si>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</si>
  <si>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</si>
  <si>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</si>
  <si>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</si>
  <si>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</si>
  <si>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</si>
  <si>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</si>
  <si>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</si>
  <si>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</si>
  <si>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</si>
  <si>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</si>
  <si>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</si>
  <si>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</si>
  <si>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</si>
  <si>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</si>
  <si>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</si>
  <si>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</si>
  <si>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</si>
  <si>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</si>
  <si>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</si>
  <si>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</si>
  <si>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</si>
  <si>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</si>
  <si>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</si>
  <si>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</si>
  <si>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</si>
  <si>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</si>
  <si>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</si>
  <si>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</si>
  <si>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</si>
  <si>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</si>
  <si>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</si>
  <si>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</si>
  <si>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</si>
  <si>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</si>
  <si>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</si>
  <si>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</si>
  <si>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</si>
  <si>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</si>
  <si>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</si>
  <si>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</si>
  <si>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</si>
  <si>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</si>
  <si>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</si>
  <si>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</si>
  <si>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</si>
  <si>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</si>
  <si>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</si>
  <si>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</si>
  <si>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</si>
  <si>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</si>
  <si>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</si>
  <si>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</si>
  <si>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</si>
  <si>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</si>
  <si>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</si>
  <si>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</si>
  <si>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</si>
  <si>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</si>
  <si>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</si>
  <si>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</si>
  <si>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</si>
  <si>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</si>
  <si>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</si>
  <si>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</si>
  <si>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</si>
  <si>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</si>
  <si>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</si>
  <si>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</si>
  <si>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</si>
  <si>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</si>
  <si>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</si>
  <si>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</si>
  <si>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</si>
  <si>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</si>
  <si>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</si>
  <si>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</si>
  <si>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</si>
  <si>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</si>
  <si>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</si>
  <si>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</si>
  <si>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</si>
  <si>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</si>
  <si>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</si>
  <si>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</si>
  <si>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</si>
  <si>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</si>
  <si>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</si>
  <si>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</si>
  <si>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</si>
  <si>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</si>
  <si>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</si>
  <si>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</si>
  <si>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</si>
  <si>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</si>
  <si>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</si>
  <si>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</si>
  <si>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</si>
  <si>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</si>
  <si>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</si>
  <si>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</si>
  <si>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</si>
  <si>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</si>
  <si>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</si>
  <si>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</si>
  <si>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</si>
  <si>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</si>
  <si>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</si>
  <si>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</si>
  <si>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</si>
  <si>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</si>
  <si>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</si>
  <si>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</si>
  <si>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</si>
  <si>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</si>
  <si>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</si>
  <si>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</si>
  <si>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</si>
  <si>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</si>
  <si>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</si>
  <si>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</si>
  <si>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</si>
  <si>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</si>
  <si>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</si>
  <si>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</si>
  <si>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</si>
  <si>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</si>
  <si>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</si>
  <si>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</si>
  <si>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</si>
  <si>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</si>
  <si>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</si>
  <si>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</si>
  <si>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</si>
  <si>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</si>
  <si>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</si>
  <si>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</si>
  <si>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</si>
  <si>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</si>
  <si>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</si>
  <si>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</si>
  <si>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</si>
  <si>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</si>
  <si>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</si>
  <si>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</si>
  <si>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</si>
  <si>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</si>
  <si>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</si>
  <si>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</si>
  <si>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</si>
  <si>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</si>
  <si>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</si>
  <si>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</si>
  <si>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</si>
  <si>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</si>
  <si>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</si>
  <si>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</si>
  <si>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</si>
  <si>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</si>
  <si>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</si>
  <si>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</si>
  <si>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</si>
  <si>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</si>
  <si>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</si>
  <si>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</si>
  <si>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</si>
  <si>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</si>
  <si>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</si>
  <si>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</si>
  <si>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</si>
  <si>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</si>
  <si>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</si>
  <si>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</si>
  <si>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</si>
  <si>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</si>
  <si>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</si>
  <si>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</si>
  <si>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</si>
  <si>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</si>
  <si>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</si>
  <si>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</si>
  <si>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</si>
  <si>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</si>
  <si>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</si>
  <si>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</si>
  <si>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</si>
  <si>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</si>
  <si>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</si>
  <si>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</si>
  <si>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</si>
  <si>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</si>
  <si>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</si>
  <si>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</si>
  <si>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</si>
  <si>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</si>
  <si>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</si>
  <si>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</si>
  <si>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</si>
  <si>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</si>
  <si>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</si>
  <si>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</si>
  <si>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</si>
  <si>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</si>
  <si>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</si>
  <si>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</si>
  <si>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</si>
  <si>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</si>
  <si>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</si>
  <si>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</si>
  <si>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</si>
  <si>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</si>
  <si>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</si>
  <si>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</si>
  <si>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</si>
  <si>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</si>
  <si>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</si>
  <si>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</si>
  <si>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</si>
  <si>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</si>
  <si>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</si>
  <si>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</si>
  <si>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</si>
  <si>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</si>
  <si>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</si>
  <si>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</si>
  <si>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</si>
  <si>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</si>
  <si>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</si>
  <si>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</si>
  <si>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</si>
  <si>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</si>
  <si>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</si>
  <si>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</si>
  <si>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</si>
  <si>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</si>
  <si>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</si>
  <si>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</si>
  <si>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</si>
  <si>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</si>
  <si>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</si>
  <si>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</si>
  <si>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</si>
  <si>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</si>
  <si>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</si>
  <si>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</si>
  <si>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</si>
  <si>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</si>
  <si>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</si>
  <si>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</si>
  <si>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</si>
  <si>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</si>
  <si>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</si>
  <si>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</si>
  <si>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</si>
  <si>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</si>
  <si>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</si>
  <si>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</si>
  <si>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</si>
  <si>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</si>
  <si>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</si>
  <si>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</si>
  <si>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</si>
  <si>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</si>
  <si>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</si>
  <si>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</si>
  <si>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</si>
  <si>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</si>
  <si>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</si>
  <si>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</si>
  <si>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</si>
  <si>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</si>
  <si>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</si>
  <si>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</si>
  <si>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</si>
  <si>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</si>
  <si>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</si>
  <si>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</si>
  <si>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</si>
  <si>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</si>
  <si>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</si>
  <si>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</si>
  <si>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</si>
  <si>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</si>
  <si>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</si>
  <si>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</si>
  <si>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</si>
  <si>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</si>
  <si>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</si>
  <si>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</si>
  <si>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</si>
  <si>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</si>
  <si>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</si>
  <si>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</si>
  <si>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</si>
  <si>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</si>
  <si>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</si>
  <si>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</si>
  <si>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</si>
  <si>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</si>
  <si>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</si>
  <si>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</si>
  <si>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</si>
  <si>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</si>
  <si>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</si>
  <si>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</si>
  <si>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</si>
  <si>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</si>
  <si>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</si>
  <si>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</si>
  <si>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</si>
  <si>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</si>
  <si>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</si>
  <si>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</si>
  <si>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</si>
  <si>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</si>
  <si>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</si>
  <si>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</si>
  <si>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</si>
  <si>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</si>
  <si>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</si>
  <si>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</si>
  <si>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</si>
  <si>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</si>
  <si>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</si>
  <si>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</si>
  <si>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</si>
  <si>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</si>
  <si>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</si>
  <si>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</si>
  <si>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</si>
  <si>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</si>
  <si>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</si>
  <si>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</si>
  <si>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</si>
  <si>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</si>
  <si>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</si>
  <si>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</si>
  <si>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</si>
  <si>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</si>
  <si>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</si>
  <si>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</si>
  <si>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</si>
  <si>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</si>
  <si>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</si>
  <si>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</si>
  <si>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</si>
  <si>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</si>
  <si>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</si>
  <si>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</si>
  <si>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</si>
  <si>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</si>
  <si>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</si>
  <si>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</si>
  <si>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</si>
  <si>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</si>
  <si>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</si>
  <si>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</si>
  <si>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</si>
  <si>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</si>
  <si>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</si>
  <si>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</si>
  <si>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</si>
  <si>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</si>
  <si>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</si>
  <si>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</si>
  <si>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</si>
  <si>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</si>
  <si>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</si>
  <si>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</si>
  <si>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</si>
  <si>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</si>
  <si>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</si>
  <si>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</si>
  <si>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</si>
  <si>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</si>
  <si>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</si>
  <si>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</si>
  <si>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</si>
  <si>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</si>
  <si>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</si>
  <si>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</si>
  <si>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</si>
  <si>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</si>
  <si>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</si>
  <si>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</si>
  <si>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</si>
  <si>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</si>
  <si>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</si>
  <si>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</si>
  <si>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</si>
  <si>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</si>
  <si>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</si>
  <si>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</si>
  <si>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</si>
  <si>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</si>
  <si>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</si>
  <si>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</si>
  <si>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</si>
  <si>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</si>
  <si>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</si>
  <si>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</si>
  <si>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</si>
  <si>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</si>
  <si>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</si>
  <si>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</si>
  <si>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</si>
  <si>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</si>
  <si>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</si>
  <si>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</si>
  <si>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</si>
  <si>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</si>
  <si>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</si>
  <si>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</si>
  <si>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</si>
  <si>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</si>
  <si>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</si>
  <si>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</si>
  <si>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</si>
  <si>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</si>
  <si>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</si>
  <si>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</si>
  <si>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</si>
  <si>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</si>
  <si>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</si>
  <si>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</si>
  <si>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</si>
  <si>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</si>
  <si>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</si>
  <si>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</si>
  <si>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</si>
  <si>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</si>
  <si>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</si>
  <si>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</si>
  <si>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</si>
  <si>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</si>
  <si>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</si>
  <si>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</si>
  <si>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</si>
  <si>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</si>
  <si>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</si>
  <si>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</si>
  <si>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</si>
  <si>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</si>
  <si>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</si>
  <si>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</si>
  <si>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</si>
  <si>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</si>
  <si>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</si>
  <si>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</si>
  <si>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</si>
  <si>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</si>
  <si>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</si>
  <si>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</si>
  <si>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</si>
  <si>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</si>
  <si>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</si>
  <si>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</si>
  <si>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</si>
  <si>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</si>
  <si>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</si>
  <si>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</si>
  <si>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</si>
  <si>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</si>
  <si>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</si>
  <si>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</si>
  <si>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</si>
  <si>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</si>
  <si>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</si>
  <si>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</si>
  <si>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</si>
  <si>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</si>
  <si>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</si>
  <si>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</si>
  <si>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</si>
  <si>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</si>
  <si>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</si>
  <si>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</si>
  <si>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</si>
  <si>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</si>
  <si>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</si>
  <si>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</si>
  <si>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</si>
  <si>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</si>
  <si>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</si>
  <si>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</si>
  <si>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</si>
  <si>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</si>
  <si>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</si>
  <si>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</si>
  <si>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</si>
  <si>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</si>
  <si>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</si>
  <si>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</si>
  <si>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</si>
  <si>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</si>
  <si>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</si>
  <si>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</si>
  <si>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</si>
  <si>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</si>
  <si>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</si>
  <si>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</si>
  <si>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</si>
  <si>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</si>
  <si>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</si>
  <si>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</si>
  <si>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</si>
  <si>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</si>
  <si>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</si>
  <si>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</si>
  <si>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</si>
  <si>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</si>
  <si>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</si>
  <si>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</si>
  <si>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</si>
  <si>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</si>
  <si>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</si>
  <si>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</si>
  <si>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</si>
  <si>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</si>
  <si>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</si>
  <si>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</si>
  <si>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</si>
  <si>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</si>
  <si>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</si>
  <si>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</si>
  <si>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</si>
  <si>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</si>
  <si>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</si>
  <si>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</si>
  <si>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</si>
  <si>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</si>
  <si>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</si>
  <si>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</si>
  <si>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</si>
  <si>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</si>
  <si>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</si>
  <si>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</si>
  <si>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</si>
  <si>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</si>
  <si>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</si>
  <si>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</si>
  <si>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</si>
  <si>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</si>
  <si>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</si>
  <si>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</si>
  <si>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</si>
  <si>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</si>
  <si>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</si>
  <si>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</si>
  <si>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</si>
  <si>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</si>
  <si>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</si>
  <si>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</si>
  <si>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</si>
  <si>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</si>
  <si>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</si>
  <si>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</si>
  <si>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</si>
  <si>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</si>
  <si>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</si>
  <si>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</si>
  <si>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</si>
  <si>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</si>
  <si>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</si>
  <si>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</si>
  <si>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</si>
  <si>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</si>
  <si>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</si>
  <si>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</si>
  <si>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</si>
  <si>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</si>
  <si>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</si>
  <si>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</si>
  <si>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</si>
  <si>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</si>
  <si>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</si>
  <si>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</si>
  <si>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</si>
  <si>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</si>
  <si>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</si>
  <si>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</si>
  <si>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</si>
  <si>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</si>
  <si>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</si>
  <si>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</si>
  <si>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</si>
  <si>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</si>
  <si>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</si>
  <si>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</si>
  <si>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</si>
  <si>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</si>
  <si>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</si>
  <si>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</si>
  <si>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</si>
  <si>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</si>
  <si>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</si>
  <si>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</si>
  <si>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</si>
  <si>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</si>
  <si>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</si>
  <si>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</si>
  <si>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</si>
  <si>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</si>
  <si>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</si>
  <si>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</si>
  <si>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</si>
  <si>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</si>
  <si>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</si>
  <si>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</si>
  <si>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</si>
  <si>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</si>
  <si>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</si>
  <si>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</si>
  <si>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</si>
  <si>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</si>
  <si>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</si>
  <si>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</si>
  <si>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</si>
  <si>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</si>
  <si>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</si>
  <si>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</si>
  <si>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</si>
  <si>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</si>
  <si>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</si>
  <si>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</si>
  <si>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</si>
  <si>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</si>
  <si>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</si>
  <si>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</si>
  <si>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</si>
  <si>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</si>
  <si>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</si>
  <si>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</si>
  <si>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</si>
  <si>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</si>
  <si>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</si>
  <si>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</si>
  <si>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</si>
  <si>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</si>
  <si>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</si>
  <si>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</si>
  <si>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</si>
  <si>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</si>
  <si>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</si>
  <si>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</si>
  <si>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</si>
  <si>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</si>
  <si>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</si>
  <si>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</si>
  <si>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</si>
  <si>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</si>
  <si>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</si>
  <si>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</si>
  <si>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</si>
  <si>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</si>
  <si>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</si>
  <si>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</si>
  <si>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</si>
  <si>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</si>
  <si>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</si>
  <si>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</si>
  <si>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</si>
  <si>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</si>
  <si>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</si>
  <si>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</si>
  <si>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</si>
  <si>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</si>
  <si>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</si>
  <si>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</si>
  <si>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</si>
  <si>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</si>
  <si>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</si>
  <si>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</si>
  <si>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</si>
  <si>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</si>
  <si>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</si>
  <si>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</si>
  <si>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</si>
  <si>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</si>
  <si>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</si>
  <si>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</si>
  <si>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</si>
  <si>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</si>
  <si>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</si>
  <si>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</si>
  <si>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</si>
  <si>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</si>
  <si>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</si>
  <si>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</si>
  <si>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</si>
  <si>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</si>
  <si>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</si>
  <si>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</si>
  <si>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</si>
  <si>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</si>
  <si>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</si>
  <si>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</si>
  <si>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</si>
  <si>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</si>
  <si>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</si>
  <si>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</si>
  <si>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</si>
  <si>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</si>
  <si>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</si>
  <si>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</si>
  <si>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</si>
  <si>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</si>
  <si>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</si>
  <si>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</si>
  <si>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</si>
  <si>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</si>
  <si>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</si>
  <si>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</si>
  <si>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</si>
  <si>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</si>
  <si>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</si>
  <si>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</si>
  <si>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</si>
  <si>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</si>
  <si>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</si>
  <si>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</si>
  <si>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</si>
  <si>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</si>
  <si>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</si>
  <si>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</si>
  <si>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</si>
  <si>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</si>
  <si>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</si>
  <si>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</si>
  <si>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</si>
  <si>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</si>
  <si>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</si>
  <si>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</si>
  <si>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</si>
  <si>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</si>
  <si>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</si>
  <si>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</si>
  <si>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</si>
  <si>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</si>
  <si>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</si>
  <si>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</si>
  <si>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</si>
  <si>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</si>
  <si>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</si>
  <si>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</si>
  <si>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</si>
  <si>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</si>
  <si>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</si>
  <si>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</si>
  <si>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</si>
  <si>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</si>
  <si>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</si>
  <si>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</si>
  <si>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</si>
  <si>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</si>
  <si>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</si>
  <si>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</si>
  <si>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</si>
  <si>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</si>
  <si>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</si>
  <si>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</si>
  <si>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</si>
  <si>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</si>
  <si>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</si>
  <si>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</si>
  <si>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</si>
  <si>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</si>
  <si>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</si>
  <si>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</si>
  <si>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</si>
  <si>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</si>
  <si>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</si>
  <si>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</si>
  <si>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</si>
  <si>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</si>
  <si>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</si>
  <si>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</si>
  <si>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</si>
  <si>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</si>
  <si>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</si>
  <si>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</si>
  <si>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</si>
  <si>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</si>
  <si>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</si>
  <si>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</si>
  <si>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</si>
  <si>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</si>
  <si>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</si>
  <si>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</si>
  <si>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</si>
  <si>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</si>
  <si>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</si>
  <si>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</si>
  <si>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</si>
  <si>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</si>
  <si>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</si>
  <si>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</si>
  <si>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</si>
  <si>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</si>
  <si>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</si>
  <si>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</si>
  <si>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</si>
  <si>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</si>
  <si>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</si>
  <si>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</si>
  <si>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</si>
  <si>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</si>
  <si>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</si>
  <si>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</si>
  <si>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</si>
  <si>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</si>
  <si>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</si>
  <si>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</si>
  <si>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</si>
  <si>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</si>
  <si>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</si>
  <si>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</si>
  <si>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</si>
  <si>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</si>
  <si>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</si>
  <si>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</si>
  <si>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</si>
  <si>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</si>
  <si>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</si>
  <si>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</si>
  <si>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</si>
  <si>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</si>
  <si>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</si>
  <si>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</si>
  <si>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</si>
  <si>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</si>
  <si>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</si>
  <si>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</si>
  <si>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</si>
  <si>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</si>
  <si>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</si>
  <si>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核定资产</t>
  </si>
  <si>
    <t>房地产市场价值</t>
  </si>
  <si>
    <t>北京市</t>
  </si>
  <si>
    <t>企业</t>
  </si>
  <si>
    <t>Ⅵ-BDA东</t>
  </si>
  <si>
    <t>不临65条商业街</t>
  </si>
  <si>
    <t>与级别开发程度一致</t>
  </si>
  <si>
    <t>自定义容积率</t>
  </si>
  <si>
    <t>成新度</t>
  </si>
  <si>
    <t>收益法 (元)</t>
  </si>
  <si>
    <t>利息：取LPR加浮动点数</t>
  </si>
  <si>
    <t>地上</t>
  </si>
  <si>
    <t>是</t>
  </si>
  <si>
    <t>工业</t>
    <phoneticPr fontId="8" type="noConversion"/>
  </si>
  <si>
    <t>中心城区</t>
  </si>
  <si>
    <t>标准厂房</t>
  </si>
  <si>
    <t>押一</t>
  </si>
  <si>
    <t>钢混</t>
  </si>
  <si>
    <t>生产用房</t>
  </si>
  <si>
    <t>全部缴纳</t>
  </si>
  <si>
    <t>收益法</t>
  </si>
  <si>
    <t>否</t>
  </si>
  <si>
    <t>评估价</t>
    <phoneticPr fontId="135" type="noConversion"/>
  </si>
  <si>
    <t>面积</t>
    <phoneticPr fontId="135" type="noConversion"/>
  </si>
  <si>
    <t>拍卖日期</t>
    <phoneticPr fontId="135" type="noConversion"/>
  </si>
  <si>
    <t>成交价</t>
    <phoneticPr fontId="135" type="noConversion"/>
  </si>
  <si>
    <t>评估单价</t>
    <phoneticPr fontId="135" type="noConversion"/>
  </si>
  <si>
    <t>成交单价</t>
    <phoneticPr fontId="135" type="noConversion"/>
  </si>
  <si>
    <t>https://sf-item.taobao.com/sf_item/620952596064.htm?spm=a213w.7398504.paiList.1.6571694d7HLV8k&amp;track_id=b7a1946d-6c51-44b6-acb8-1855a60ebd9b</t>
  </si>
  <si>
    <t>https://sf-item.taobao.com/sf_item/611902876802.htm?spm=a213w.7398504.paiList.3.6571694dBWtPtB&amp;track_id=b7a1946d-6c51-44b6-acb8-1855a60ebd9b</t>
  </si>
  <si>
    <t>流拍</t>
    <phoneticPr fontId="135" type="noConversion"/>
  </si>
  <si>
    <t>中止</t>
    <phoneticPr fontId="135" type="noConversion"/>
  </si>
  <si>
    <t>https://sf-item.taobao.com/sf_item/616894275864.htm?spm=a213w.7398504.paiList.2.6571694dBWtPtB&amp;track_id=b7a1946d-6c51-44b6-acb8-1855a60ebd9b</t>
  </si>
  <si>
    <t>https://paimai.jd.com/291938787</t>
  </si>
  <si>
    <t>https://paimai.jd.com/291581524</t>
  </si>
  <si>
    <t>https://paimai.jd.com/107837540</t>
  </si>
  <si>
    <t>北京市经济技术开发区经海四路35号院4号楼-1至4层101</t>
  </si>
  <si>
    <t>较好</t>
  </si>
  <si>
    <t>一般</t>
  </si>
  <si>
    <t>北京经开壹中心</t>
    <phoneticPr fontId="135" type="noConversion"/>
  </si>
  <si>
    <t>项目模式</t>
  </si>
  <si>
    <t>售价</t>
  </si>
  <si>
    <t>京东贝光电产业园</t>
    <phoneticPr fontId="135" type="noConversion"/>
  </si>
  <si>
    <t>楼号</t>
  </si>
  <si>
    <t>出租面积</t>
  </si>
  <si>
    <t>客户名称</t>
  </si>
  <si>
    <t>出租单价</t>
  </si>
  <si>
    <t>租赁起始日</t>
  </si>
  <si>
    <t>租赁到期日</t>
  </si>
  <si>
    <t>其他</t>
    <phoneticPr fontId="135" type="noConversion"/>
  </si>
  <si>
    <t>（元/天/㎡）</t>
  </si>
  <si>
    <t>1&amp;2#</t>
    <phoneticPr fontId="135" type="noConversion"/>
  </si>
  <si>
    <t>奕斯伟</t>
  </si>
  <si>
    <t>1号楼14月免租期；
2号楼8个月免租期；</t>
    <phoneticPr fontId="135" type="noConversion"/>
  </si>
  <si>
    <t>3#</t>
    <phoneticPr fontId="135" type="noConversion"/>
  </si>
  <si>
    <t>免租至2020-12-31</t>
    <phoneticPr fontId="135" type="noConversion"/>
  </si>
  <si>
    <t>4#</t>
  </si>
  <si>
    <t>深瑞达</t>
  </si>
  <si>
    <t>2.6~3.1</t>
    <phoneticPr fontId="135" type="noConversion"/>
  </si>
  <si>
    <t>2024.4.1租金增长至3.1元</t>
    <phoneticPr fontId="135" type="noConversion"/>
  </si>
  <si>
    <t>8#</t>
  </si>
  <si>
    <t>悦商</t>
  </si>
  <si>
    <t>年涨幅6%</t>
  </si>
  <si>
    <t>9#</t>
  </si>
  <si>
    <t>义翘神州</t>
  </si>
  <si>
    <t>涨幅不超25%</t>
    <phoneticPr fontId="135" type="noConversion"/>
  </si>
  <si>
    <t>10#</t>
  </si>
  <si>
    <t>欣奕华&amp;奕斯伟</t>
  </si>
  <si>
    <t>五层</t>
    <phoneticPr fontId="135" type="noConversion"/>
  </si>
  <si>
    <t>北京欣奕华科技有限公司</t>
    <phoneticPr fontId="135" type="noConversion"/>
  </si>
  <si>
    <t>四层</t>
  </si>
  <si>
    <t>北京欣奕华机器人科技有限公司</t>
  </si>
  <si>
    <t>合肥欣奕华智能机器有限公司</t>
  </si>
  <si>
    <t>一层东侧展厅</t>
    <phoneticPr fontId="135" type="noConversion"/>
  </si>
  <si>
    <t>三层办公区、实验室、地下库房、一楼实验室、一楼展厅</t>
    <phoneticPr fontId="135" type="noConversion"/>
  </si>
  <si>
    <t>阜阳欣奕华材料科技有限公司</t>
    <phoneticPr fontId="135" type="noConversion"/>
  </si>
  <si>
    <t>3.5-4.63</t>
  </si>
  <si>
    <t>三层</t>
  </si>
  <si>
    <t>北京欣奕华航空科技有限公司</t>
    <phoneticPr fontId="135" type="noConversion"/>
  </si>
  <si>
    <t>一层展厅</t>
    <phoneticPr fontId="135" type="noConversion"/>
  </si>
  <si>
    <t>五层实验室+一楼展厅</t>
    <phoneticPr fontId="135" type="noConversion"/>
  </si>
  <si>
    <t>浙江欣奕华智能科技有限公司</t>
  </si>
  <si>
    <t>二层西侧实验室</t>
  </si>
  <si>
    <t>六层</t>
  </si>
  <si>
    <t>北京奕斯伟计算技术有限公司</t>
    <phoneticPr fontId="135" type="noConversion"/>
  </si>
  <si>
    <t>11#</t>
  </si>
  <si>
    <t>1层</t>
  </si>
  <si>
    <t>泛林</t>
  </si>
  <si>
    <t>不超25%</t>
    <phoneticPr fontId="135" type="noConversion"/>
  </si>
  <si>
    <t>2层</t>
  </si>
  <si>
    <t>3层</t>
  </si>
  <si>
    <t>4层</t>
  </si>
  <si>
    <t>超弦存储</t>
  </si>
  <si>
    <t>不超10%</t>
    <phoneticPr fontId="135" type="noConversion"/>
  </si>
  <si>
    <t>5层</t>
  </si>
  <si>
    <t>摩根诺里/信岚</t>
    <phoneticPr fontId="135" type="noConversion"/>
  </si>
  <si>
    <t>已租部分合计</t>
  </si>
  <si>
    <t>富兴国际出租情况</t>
    <phoneticPr fontId="248" type="noConversion"/>
  </si>
  <si>
    <t>项目</t>
    <phoneticPr fontId="135" type="noConversion"/>
  </si>
  <si>
    <t>建筑面积</t>
  </si>
  <si>
    <t>租户</t>
  </si>
  <si>
    <r>
      <t>合同面积
（</t>
    </r>
    <r>
      <rPr>
        <b/>
        <sz val="11"/>
        <rFont val="方正姚体"/>
        <family val="3"/>
        <charset val="134"/>
      </rPr>
      <t>㎡）</t>
    </r>
    <phoneticPr fontId="248" type="noConversion"/>
  </si>
  <si>
    <t>单价</t>
  </si>
  <si>
    <t>年租金</t>
  </si>
  <si>
    <t>当年租金
（万）</t>
    <phoneticPr fontId="135" type="noConversion"/>
  </si>
  <si>
    <t>2021年单价
（元/㎡）</t>
    <phoneticPr fontId="248" type="noConversion"/>
  </si>
  <si>
    <t>现租金
（万）</t>
    <phoneticPr fontId="135" type="noConversion"/>
  </si>
  <si>
    <t>递增</t>
  </si>
  <si>
    <t>租期</t>
  </si>
  <si>
    <t>起始时间</t>
  </si>
  <si>
    <t>一号楼</t>
  </si>
  <si>
    <t>富兴集团</t>
  </si>
  <si>
    <t>5.2元/日/平方</t>
  </si>
  <si>
    <t>第四年起递增5%</t>
  </si>
  <si>
    <t>40年</t>
  </si>
  <si>
    <t>2015.08.01-2055.07.31</t>
  </si>
  <si>
    <t>5.46（163.8）</t>
    <phoneticPr fontId="135" type="noConversion"/>
  </si>
  <si>
    <t>二号楼商业</t>
    <phoneticPr fontId="248" type="noConversion"/>
  </si>
  <si>
    <t>渤海银行（北京分行）</t>
  </si>
  <si>
    <t>271.49元/月/平方</t>
  </si>
  <si>
    <t>每两年递增5%</t>
  </si>
  <si>
    <t>10年</t>
  </si>
  <si>
    <t>2015.11.01-2025.12.31</t>
  </si>
  <si>
    <t>北京华商泰诚建设工程有限公司（简餐)</t>
  </si>
  <si>
    <t>239.4元/月/平方</t>
  </si>
  <si>
    <t>8年</t>
  </si>
  <si>
    <t>2016.10.01-2024.09.30</t>
  </si>
  <si>
    <t>北京百晟商贸有限公司（美容）</t>
  </si>
  <si>
    <t>200元/月/平方</t>
    <phoneticPr fontId="248" type="noConversion"/>
  </si>
  <si>
    <t>每两年递增8%</t>
  </si>
  <si>
    <t>5年</t>
  </si>
  <si>
    <t>2016.07.10-2021.07.09</t>
  </si>
  <si>
    <t>北京天朗时代文化艺术有限公司</t>
  </si>
  <si>
    <t>2017.02.26-2025.02.25</t>
  </si>
  <si>
    <t>小计</t>
    <phoneticPr fontId="248" type="noConversion"/>
  </si>
  <si>
    <t>二号附属楼商业</t>
    <phoneticPr fontId="248" type="noConversion"/>
  </si>
  <si>
    <t>1--06</t>
  </si>
  <si>
    <t>（赵丽）北京华商泰诚建设工程有限公司</t>
  </si>
  <si>
    <t>246元/月/平方</t>
    <phoneticPr fontId="248" type="noConversion"/>
  </si>
  <si>
    <t>第三年起每年递增5%</t>
  </si>
  <si>
    <t>2018.6.15-2023.6.14</t>
  </si>
  <si>
    <t>1--07</t>
  </si>
  <si>
    <t>1--10</t>
    <phoneticPr fontId="248" type="noConversion"/>
  </si>
  <si>
    <t>231元/月/平方</t>
    <phoneticPr fontId="248" type="noConversion"/>
  </si>
  <si>
    <t>2018.10.30-2023.10.30</t>
    <phoneticPr fontId="248" type="noConversion"/>
  </si>
  <si>
    <t>3--16</t>
    <phoneticPr fontId="248" type="noConversion"/>
  </si>
  <si>
    <t>北京外国语大学外研培训中心（北外青少）</t>
  </si>
  <si>
    <t>188元/月/平方</t>
    <phoneticPr fontId="248" type="noConversion"/>
  </si>
  <si>
    <t>6年</t>
  </si>
  <si>
    <t>2016.04.01-2022.03.31</t>
  </si>
  <si>
    <t>3--21</t>
  </si>
  <si>
    <t>3--25</t>
  </si>
  <si>
    <t>北京汇乐优学教育咨询有限公司（贝乐英语）</t>
  </si>
  <si>
    <t>每三年递增5%</t>
  </si>
  <si>
    <t>2015.11.01-2022.01.31</t>
  </si>
  <si>
    <t>3--26</t>
  </si>
  <si>
    <t>5--27</t>
  </si>
  <si>
    <t>北京世纪优加投资管理有限公司</t>
  </si>
  <si>
    <t>126元/月</t>
    <phoneticPr fontId="248" type="noConversion"/>
  </si>
  <si>
    <t>2016.10.20-2026.10.19</t>
  </si>
  <si>
    <t>小计</t>
    <phoneticPr fontId="135" type="noConversion"/>
  </si>
  <si>
    <t>三号楼商业</t>
  </si>
  <si>
    <t>北京熙甲昂业投资管理有限公司（全聚德）</t>
  </si>
  <si>
    <t>230元/月/平方</t>
    <phoneticPr fontId="248" type="noConversion"/>
  </si>
  <si>
    <t>第四年起递增10.66%</t>
  </si>
  <si>
    <t>9年</t>
  </si>
  <si>
    <t>2015.06.15-2024.06.14</t>
  </si>
  <si>
    <t>负一层商业</t>
  </si>
  <si>
    <t>物美集团（物美超市）</t>
  </si>
  <si>
    <t>88.2元/月/平方</t>
    <phoneticPr fontId="248" type="noConversion"/>
  </si>
  <si>
    <t>15年</t>
  </si>
  <si>
    <t>2016.5.25-2031.5.24</t>
  </si>
  <si>
    <t>负二层车库</t>
  </si>
  <si>
    <t>北京佳洁鸿运物业管理有限公司</t>
  </si>
  <si>
    <t>32元/月/平方</t>
  </si>
  <si>
    <t>2016.03.01-2021.2.29</t>
  </si>
  <si>
    <t>国锐广场B座凯朋租金台账</t>
    <phoneticPr fontId="135" type="noConversion"/>
  </si>
  <si>
    <t>基本信息</t>
  </si>
  <si>
    <t>2018年</t>
    <phoneticPr fontId="135" type="noConversion"/>
  </si>
  <si>
    <t>2019年</t>
  </si>
  <si>
    <t>2020年</t>
  </si>
  <si>
    <t>2021年实收租金</t>
    <phoneticPr fontId="135" type="noConversion"/>
  </si>
  <si>
    <t>序号</t>
  </si>
  <si>
    <t>出租户数</t>
  </si>
  <si>
    <t>合同房间号</t>
  </si>
  <si>
    <t>承租人姓名</t>
  </si>
  <si>
    <t>发票类型</t>
  </si>
  <si>
    <t>交款截止日期</t>
    <phoneticPr fontId="135" type="noConversion"/>
  </si>
  <si>
    <t>退租面积</t>
    <phoneticPr fontId="135" type="noConversion"/>
  </si>
  <si>
    <t>签约日期</t>
  </si>
  <si>
    <t>合同开始日期</t>
  </si>
  <si>
    <t>合同截止日期</t>
  </si>
  <si>
    <t>租金优惠期</t>
  </si>
  <si>
    <t>租金单价（元/平米）</t>
  </si>
  <si>
    <t>月租金</t>
  </si>
  <si>
    <t>租金单价递增</t>
  </si>
  <si>
    <t>合同总租金</t>
  </si>
  <si>
    <t>付款方式</t>
  </si>
  <si>
    <t>订金</t>
    <phoneticPr fontId="135" type="noConversion"/>
  </si>
  <si>
    <t>物业费</t>
    <phoneticPr fontId="135" type="noConversion"/>
  </si>
  <si>
    <t>租金保证金</t>
  </si>
  <si>
    <t>2021年实收租金小计</t>
    <phoneticPr fontId="135" type="noConversion"/>
  </si>
  <si>
    <t>租金单价</t>
  </si>
  <si>
    <t>递增月租金</t>
  </si>
  <si>
    <t>实收租金</t>
    <phoneticPr fontId="135" type="noConversion"/>
  </si>
  <si>
    <t>不含税租金</t>
    <phoneticPr fontId="135" type="noConversion"/>
  </si>
  <si>
    <t>物业费</t>
  </si>
  <si>
    <t>租赁期间</t>
  </si>
  <si>
    <t>招商证券股份有限公司北京亦庄证券营业部</t>
  </si>
  <si>
    <t>专票</t>
  </si>
  <si>
    <t>2018.7.15-2018.10.14</t>
  </si>
  <si>
    <t>押三付六</t>
  </si>
  <si>
    <t>2021.4.15-2021.10.14</t>
    <phoneticPr fontId="135" type="noConversion"/>
  </si>
  <si>
    <t>2021.10.15-2022.4.14</t>
    <phoneticPr fontId="135" type="noConversion"/>
  </si>
  <si>
    <t>102/103</t>
  </si>
  <si>
    <t>新韩银行（中国）有限公司北京分行</t>
    <phoneticPr fontId="135" type="noConversion"/>
  </si>
  <si>
    <t>2018.8.20-2018.12.19</t>
  </si>
  <si>
    <t>押三付三</t>
  </si>
  <si>
    <t>2021.2.20-2021.5.19</t>
    <phoneticPr fontId="135" type="noConversion"/>
  </si>
  <si>
    <t>2021.5.20-2021.8.19</t>
    <phoneticPr fontId="135" type="noConversion"/>
  </si>
  <si>
    <t>2021.8.20-2021.11.19</t>
    <phoneticPr fontId="135" type="noConversion"/>
  </si>
  <si>
    <t>北京吴辰齿科口腔门诊部有限公司</t>
    <phoneticPr fontId="135" type="noConversion"/>
  </si>
  <si>
    <t>普票</t>
  </si>
  <si>
    <t>2020.6.1-8.31</t>
  </si>
  <si>
    <t>2021.3.1-2021.5.31</t>
    <phoneticPr fontId="135" type="noConversion"/>
  </si>
  <si>
    <t>2021.6.1-2021.8.31</t>
    <phoneticPr fontId="135" type="noConversion"/>
  </si>
  <si>
    <t>2021.9.1-2021.11.30</t>
    <phoneticPr fontId="135" type="noConversion"/>
  </si>
  <si>
    <t>北京创造蜂连锁商业有限公司</t>
    <phoneticPr fontId="135" type="noConversion"/>
  </si>
  <si>
    <t>2021.8.1-2021.10.31</t>
    <phoneticPr fontId="135" type="noConversion"/>
  </si>
  <si>
    <t>2021.8.1-2022.1.31/优惠期2021.8.1-2021.10.31</t>
    <phoneticPr fontId="135" type="noConversion"/>
  </si>
  <si>
    <t>北京朗实国际教育咨询有限公司</t>
    <phoneticPr fontId="135" type="noConversion"/>
  </si>
  <si>
    <t>2019.12.16-2020.2.15、2020.12.16-2021.1.15、2021.12.16-2020.1.15</t>
  </si>
  <si>
    <t>2021.3.16-2021.6.15</t>
    <phoneticPr fontId="135" type="noConversion"/>
  </si>
  <si>
    <t>2021.6.16-2021.9.15</t>
    <phoneticPr fontId="135" type="noConversion"/>
  </si>
  <si>
    <t>2021.9.16-2021.12.15</t>
    <phoneticPr fontId="135" type="noConversion"/>
  </si>
  <si>
    <t>北京蔚蓝生态环境科技有限公司</t>
    <phoneticPr fontId="135" type="noConversion"/>
  </si>
  <si>
    <t>无</t>
    <phoneticPr fontId="135" type="noConversion"/>
  </si>
  <si>
    <t>2021.6.15-2021.9.14</t>
    <phoneticPr fontId="135" type="noConversion"/>
  </si>
  <si>
    <t>2021.9.15-2021.12.14</t>
    <phoneticPr fontId="135" type="noConversion"/>
  </si>
  <si>
    <t>经纬度（北京）航空服务有限公司</t>
    <phoneticPr fontId="135" type="noConversion"/>
  </si>
  <si>
    <t>扩租至1902</t>
    <phoneticPr fontId="135" type="noConversion"/>
  </si>
  <si>
    <t>2019.9.9-2019.10.8、2020.9.9-2020.10.8</t>
  </si>
  <si>
    <t>2021.2.9-2021.5.8</t>
    <phoneticPr fontId="135" type="noConversion"/>
  </si>
  <si>
    <t>2021.5.9-2021.8.8</t>
    <phoneticPr fontId="135" type="noConversion"/>
  </si>
  <si>
    <t>2021.8.9-2021.9.8</t>
    <phoneticPr fontId="135" type="noConversion"/>
  </si>
  <si>
    <t>杭州科百特过滤器材有限公司</t>
    <phoneticPr fontId="135" type="noConversion"/>
  </si>
  <si>
    <t>2021.9.9-10.8、2022.9.9-10.8、2023.9.9-10.8</t>
    <phoneticPr fontId="135" type="noConversion"/>
  </si>
  <si>
    <t>2021.9.9-2022.1.8/优惠期2021.9.9-2021.10.8</t>
    <phoneticPr fontId="135" type="noConversion"/>
  </si>
  <si>
    <t>北京戴思富德贸易有限公司</t>
    <phoneticPr fontId="135" type="noConversion"/>
  </si>
  <si>
    <t>天津津塘商贸有限公司</t>
    <phoneticPr fontId="135" type="noConversion"/>
  </si>
  <si>
    <t>2021.9.6-2021.10.5</t>
    <phoneticPr fontId="135" type="noConversion"/>
  </si>
  <si>
    <t>2021.7.6-2021.11.5/优惠期2021.9.6-2021.10.5</t>
    <phoneticPr fontId="135" type="noConversion"/>
  </si>
  <si>
    <t>通快（中国）有限公司</t>
    <phoneticPr fontId="135" type="noConversion"/>
  </si>
  <si>
    <t>2019.12.12-2020.1.11、2020.12.12-2021.1.11</t>
  </si>
  <si>
    <t>2021.2.12-2021.5.11</t>
    <phoneticPr fontId="135" type="noConversion"/>
  </si>
  <si>
    <t>2021.5.12-2021.8.11</t>
    <phoneticPr fontId="135" type="noConversion"/>
  </si>
  <si>
    <t>2021.8.12-2021.11.11</t>
    <phoneticPr fontId="135" type="noConversion"/>
  </si>
  <si>
    <t>牡丹江市特华得食品有限公司北京分公司</t>
    <phoneticPr fontId="135" type="noConversion"/>
  </si>
  <si>
    <t>2021.1.1-2021.3.31</t>
    <phoneticPr fontId="135" type="noConversion"/>
  </si>
  <si>
    <t>2021.4.1-2021.6.30</t>
    <phoneticPr fontId="135" type="noConversion"/>
  </si>
  <si>
    <t>2021.7.1-2021.9.30</t>
    <phoneticPr fontId="135" type="noConversion"/>
  </si>
  <si>
    <t>北京巨人匠心咨询有限公司</t>
    <phoneticPr fontId="135" type="noConversion"/>
  </si>
  <si>
    <t>普票</t>
    <phoneticPr fontId="135" type="noConversion"/>
  </si>
  <si>
    <t>2021.9.22-2021.10.21、2022.9.22-2022.10.21</t>
    <phoneticPr fontId="135" type="noConversion"/>
  </si>
  <si>
    <t>2021.9.22-2022.1.21/优惠期2021.9.22-2021.10.21</t>
    <phoneticPr fontId="135" type="noConversion"/>
  </si>
  <si>
    <t>北京珍妮世家食品有限公司</t>
  </si>
  <si>
    <t>专票</t>
    <phoneticPr fontId="135" type="noConversion"/>
  </si>
  <si>
    <t>2021.1.4-2.3、2022.1.4-2.3、2023.1.4-2.3</t>
    <phoneticPr fontId="135" type="noConversion"/>
  </si>
  <si>
    <t>2021.5.4-2021.8.3</t>
    <phoneticPr fontId="135" type="noConversion"/>
  </si>
  <si>
    <t>2021.8.4-2021.11.3</t>
    <phoneticPr fontId="135" type="noConversion"/>
  </si>
  <si>
    <t>港中旅房地产开发有限公司</t>
    <phoneticPr fontId="135" type="noConversion"/>
  </si>
  <si>
    <t>2019.8.9-2019.11.08</t>
  </si>
  <si>
    <t>2021.8.9-2021.11.8</t>
    <phoneticPr fontId="135" type="noConversion"/>
  </si>
  <si>
    <t>长溢（北京）置业有限公司</t>
    <phoneticPr fontId="135" type="noConversion"/>
  </si>
  <si>
    <t>湃森尼斯(北京）科技有限公司</t>
    <phoneticPr fontId="135" type="noConversion"/>
  </si>
  <si>
    <t>2021.4.15-6.14、2022.4.15-5.14</t>
    <phoneticPr fontId="135" type="noConversion"/>
  </si>
  <si>
    <t>2021.4.15-2021.9.14/优惠期2021.4.15-2021.6.14</t>
    <phoneticPr fontId="135" type="noConversion"/>
  </si>
  <si>
    <t>北京金歌铁马声乐艺术有限公司</t>
    <phoneticPr fontId="135" type="noConversion"/>
  </si>
  <si>
    <t>2019.6.1- 2019.8.31、2021.5.1- 2021.5.31、2022.4.1-2022.5.31</t>
  </si>
  <si>
    <t>2021.6.1-2021.8.31/优惠期2021.5.1-2021.5.31</t>
    <phoneticPr fontId="135" type="noConversion"/>
  </si>
  <si>
    <t>15层</t>
  </si>
  <si>
    <t>数海信息技术有限公司</t>
    <phoneticPr fontId="135" type="noConversion"/>
  </si>
  <si>
    <t>2019.10.8-2019.12.7、2020.10.8-2020.12.7、2021.10.8-2021.12.7</t>
  </si>
  <si>
    <t>2021.3.8-2021.6.7</t>
    <phoneticPr fontId="135" type="noConversion"/>
  </si>
  <si>
    <t>2021.6.8-2021.9.7</t>
    <phoneticPr fontId="135" type="noConversion"/>
  </si>
  <si>
    <t>2021.9.8-2021.12.7/优惠期2021.10.8-2021.12.7</t>
    <phoneticPr fontId="135" type="noConversion"/>
  </si>
  <si>
    <t>1601</t>
    <phoneticPr fontId="135" type="noConversion"/>
  </si>
  <si>
    <t>刘晓蓉（个人发票已开）</t>
    <phoneticPr fontId="135" type="noConversion"/>
  </si>
  <si>
    <t>2021.6.30-7.9、2021.7.10-8.9、2022.7.10-8.9、2023.7.10-8.9</t>
    <phoneticPr fontId="135" type="noConversion"/>
  </si>
  <si>
    <t>2021.6.30-2021.11.9</t>
    <phoneticPr fontId="135" type="noConversion"/>
  </si>
  <si>
    <t>北京家禾瑞宝地毯有限公司</t>
    <phoneticPr fontId="135" type="noConversion"/>
  </si>
  <si>
    <t>2021.10.10-2021.11.9</t>
    <phoneticPr fontId="135" type="noConversion"/>
  </si>
  <si>
    <t>2021.1.10-2021.4.9</t>
    <phoneticPr fontId="135" type="noConversion"/>
  </si>
  <si>
    <t>2021.4.10-2021.7.9</t>
    <phoneticPr fontId="135" type="noConversion"/>
  </si>
  <si>
    <t>2021.7.10-2021.10.9</t>
    <phoneticPr fontId="135" type="noConversion"/>
  </si>
  <si>
    <t>2021.10.10-2022.2.9/优惠期2021.10.10-2021.11.9</t>
    <phoneticPr fontId="135" type="noConversion"/>
  </si>
  <si>
    <t>深圳趣拼桌科技有限公司</t>
    <phoneticPr fontId="135" type="noConversion"/>
  </si>
  <si>
    <t>2021.4.1-4.30、2022.3.1-3.31、2022.4.1-4.30</t>
    <phoneticPr fontId="135" type="noConversion"/>
  </si>
  <si>
    <t>2021.4.1-2021.7.31/优惠期2021.4.1-2021.4.30</t>
    <phoneticPr fontId="135" type="noConversion"/>
  </si>
  <si>
    <t>2021-7-14 2021-7-1</t>
    <phoneticPr fontId="135" type="noConversion"/>
  </si>
  <si>
    <t>北京瑞中生态环境工程有限公司</t>
    <phoneticPr fontId="135" type="noConversion"/>
  </si>
  <si>
    <t>退租</t>
    <phoneticPr fontId="135" type="noConversion"/>
  </si>
  <si>
    <t>2018.09.01-2018.11.30</t>
  </si>
  <si>
    <t>2021.2.1-2021.2.28</t>
    <phoneticPr fontId="135" type="noConversion"/>
  </si>
  <si>
    <t>蒙太奇（北京）生物智能科技有限公司</t>
    <phoneticPr fontId="135" type="noConversion"/>
  </si>
  <si>
    <t>无</t>
  </si>
  <si>
    <t>2021.2.24-2021.5.23</t>
    <phoneticPr fontId="135" type="noConversion"/>
  </si>
  <si>
    <t>2021.5.24-2021.8.23</t>
    <phoneticPr fontId="135" type="noConversion"/>
  </si>
  <si>
    <t>北京小满电子商务有限公司</t>
    <phoneticPr fontId="135" type="noConversion"/>
  </si>
  <si>
    <t>到期</t>
    <phoneticPr fontId="135" type="noConversion"/>
  </si>
  <si>
    <t>北京碧偶文化传媒有限公司</t>
    <phoneticPr fontId="135" type="noConversion"/>
  </si>
  <si>
    <t>2021.9.6-10.5、2022.9.6-10.5、2023.9.6-10.5</t>
    <phoneticPr fontId="135" type="noConversion"/>
  </si>
  <si>
    <t>2021.9.6-2022.1.5/优惠期2021.9.6-2021.10.5</t>
    <phoneticPr fontId="135" type="noConversion"/>
  </si>
  <si>
    <t>1701/1708</t>
  </si>
  <si>
    <t>北京络可英网络科技有限公司</t>
    <phoneticPr fontId="135" type="noConversion"/>
  </si>
  <si>
    <t>2018.12.27-2019.03.26</t>
  </si>
  <si>
    <t>2020.12.27-2021.3.26</t>
    <phoneticPr fontId="135" type="noConversion"/>
  </si>
  <si>
    <t>2021.3.27-2021.6.26</t>
    <phoneticPr fontId="135" type="noConversion"/>
  </si>
  <si>
    <t>2021.6.27-2021.9.26</t>
    <phoneticPr fontId="135" type="noConversion"/>
  </si>
  <si>
    <t>2021.9.27-2021.12.26</t>
    <phoneticPr fontId="135" type="noConversion"/>
  </si>
  <si>
    <t>北京华承汇科技有限公司</t>
    <phoneticPr fontId="135" type="noConversion"/>
  </si>
  <si>
    <t>2020.7.1-7.31、2021.7.1-7.31</t>
  </si>
  <si>
    <t>2021.2.1-2021.4.30</t>
    <phoneticPr fontId="135" type="noConversion"/>
  </si>
  <si>
    <t>2021.5.1-2021.8.31/优惠期2021.7.1-2021.7.31</t>
    <phoneticPr fontId="135" type="noConversion"/>
  </si>
  <si>
    <t>深圳市海柔创新科技有限公司北京分公司</t>
    <phoneticPr fontId="135" type="noConversion"/>
  </si>
  <si>
    <t>2021.9.13-2021.10.12、2022.9.13-2022.10.12</t>
    <phoneticPr fontId="135" type="noConversion"/>
  </si>
  <si>
    <t>2021.9.13-2022.1.12/优惠期2021.9.13-2021.10.12</t>
    <phoneticPr fontId="135" type="noConversion"/>
  </si>
  <si>
    <t>北京共道科技有限公司</t>
    <phoneticPr fontId="135" type="noConversion"/>
  </si>
  <si>
    <t>2020.10.17-2020.11.16</t>
  </si>
  <si>
    <t>2021.2.17-2021.5.16</t>
    <phoneticPr fontId="135" type="noConversion"/>
  </si>
  <si>
    <t>2021.5.17-2021.8.16</t>
    <phoneticPr fontId="135" type="noConversion"/>
  </si>
  <si>
    <t>2021.8.17-2021.11.16</t>
    <phoneticPr fontId="135" type="noConversion"/>
  </si>
  <si>
    <t>北京天眼智慧物联科技有限公司</t>
    <phoneticPr fontId="135" type="noConversion"/>
  </si>
  <si>
    <t>2019.12.15-2020.01.14、2020.12.15-2021.01.14</t>
  </si>
  <si>
    <t>2021.1.15-2021.2.14</t>
    <phoneticPr fontId="135" type="noConversion"/>
  </si>
  <si>
    <t>2021.2.15-2021.4.14</t>
    <phoneticPr fontId="135" type="noConversion"/>
  </si>
  <si>
    <t>2021.4.15-2021.5.14</t>
    <phoneticPr fontId="135" type="noConversion"/>
  </si>
  <si>
    <t>2021.5.15-2021.7.14</t>
    <phoneticPr fontId="135" type="noConversion"/>
  </si>
  <si>
    <t>2021.7.15-2021.10.14</t>
    <phoneticPr fontId="135" type="noConversion"/>
  </si>
  <si>
    <t>吕虹</t>
    <phoneticPr fontId="135" type="noConversion"/>
  </si>
  <si>
    <t>2021.8.16-9.15、2022.8.16-9.15</t>
    <phoneticPr fontId="135" type="noConversion"/>
  </si>
  <si>
    <t>2021.8.16-2021.12.15/优惠期2021.8.16-2021.9.15</t>
    <phoneticPr fontId="135" type="noConversion"/>
  </si>
  <si>
    <t>果倍爽饮品(上海)有限公司</t>
    <phoneticPr fontId="135" type="noConversion"/>
  </si>
  <si>
    <t>2021.9.1-9.30、2022.9.1-9.30、2023.9.1-9.30</t>
    <phoneticPr fontId="135" type="noConversion"/>
  </si>
  <si>
    <t>2021.9.1-2021.10.31/优惠期2021.9.1-2021.9.30</t>
    <phoneticPr fontId="135" type="noConversion"/>
  </si>
  <si>
    <t>1802/1803/1804/1805</t>
  </si>
  <si>
    <t>北京科桥投资顾问有限公司</t>
    <phoneticPr fontId="135" type="noConversion"/>
  </si>
  <si>
    <t>2019.11.16-2019.12.15、2020.11.16-2020.12.15</t>
  </si>
  <si>
    <t>2021.4.16-2021.7.15</t>
    <phoneticPr fontId="135" type="noConversion"/>
  </si>
  <si>
    <t>2021.7.16-2021.10.15</t>
    <phoneticPr fontId="135" type="noConversion"/>
  </si>
  <si>
    <t>大连量天科技发展股份有限公司北京分公司</t>
    <phoneticPr fontId="135" type="noConversion"/>
  </si>
  <si>
    <t>2021.12.15-2022.1.14、2022.1.15-2022.2.14、2022.12.15-2023.1.14</t>
    <phoneticPr fontId="135" type="noConversion"/>
  </si>
  <si>
    <t>2021.1.15-2021.4.14</t>
    <phoneticPr fontId="135" type="noConversion"/>
  </si>
  <si>
    <t>2021.4.15-2021.7.14</t>
    <phoneticPr fontId="135" type="noConversion"/>
  </si>
  <si>
    <t>2021.7.15-2021.10.14（开票内容：租金144015，租金滞纳金8064.84）</t>
    <phoneticPr fontId="135" type="noConversion"/>
  </si>
  <si>
    <t>2021.10.15-2022.1.14/优惠期2021.12.15-2022.1.14</t>
    <phoneticPr fontId="135" type="noConversion"/>
  </si>
  <si>
    <t>泛亚御风（北京）文化传媒有限公司</t>
    <phoneticPr fontId="135" type="noConversion"/>
  </si>
  <si>
    <t>2020.6.1-6.30、2021.6.1-6.30、2022.6.1-6.30</t>
    <phoneticPr fontId="135" type="noConversion"/>
  </si>
  <si>
    <t>2021-1-4 2021-1-27</t>
    <phoneticPr fontId="135" type="noConversion"/>
  </si>
  <si>
    <t>2021.4.1-2021.7.31/优惠期2021.6.1-2021.6.30</t>
    <phoneticPr fontId="135" type="noConversion"/>
  </si>
  <si>
    <t>1901/1907/1908</t>
    <phoneticPr fontId="135" type="noConversion"/>
  </si>
  <si>
    <t>北斗启明（北京）节能科技服务有限公司</t>
    <phoneticPr fontId="135" type="noConversion"/>
  </si>
  <si>
    <t>2021.4.1-5.31、2022.4.1-4.30、2023.3.1-3.31、2024.3.1-3.31</t>
    <phoneticPr fontId="135" type="noConversion"/>
  </si>
  <si>
    <t>2021.4.1-2021.8.31/优惠期2021.4.1-2021.5.31</t>
    <phoneticPr fontId="135" type="noConversion"/>
  </si>
  <si>
    <t>2021.8.6-2021.10.5</t>
    <phoneticPr fontId="135" type="noConversion"/>
  </si>
  <si>
    <t>2021.8.6-2022.1.5/优惠期2021.8.6-2021.10.5</t>
    <phoneticPr fontId="135" type="noConversion"/>
  </si>
  <si>
    <t>北京佳域天下教育科技有限公司</t>
    <phoneticPr fontId="135" type="noConversion"/>
  </si>
  <si>
    <t>2021.4.12-5.11、2022.4.12-5.11</t>
    <phoneticPr fontId="135" type="noConversion"/>
  </si>
  <si>
    <t>2021.4.12-2021.8.11/优惠期2021.4.12-2021.5.11</t>
    <phoneticPr fontId="135" type="noConversion"/>
  </si>
  <si>
    <t>1904/1905</t>
  </si>
  <si>
    <t>北京赢泰科工程技术有限公司</t>
    <phoneticPr fontId="135" type="noConversion"/>
  </si>
  <si>
    <t>2020.8.29-9.28、2021.8.29-9.28</t>
    <phoneticPr fontId="135" type="noConversion"/>
  </si>
  <si>
    <t>2021.3.29-2021.6.28</t>
    <phoneticPr fontId="135" type="noConversion"/>
  </si>
  <si>
    <t>2021.6.29-2021.10.28/优惠期2021.8.29-2021.9.28</t>
    <phoneticPr fontId="135" type="noConversion"/>
  </si>
  <si>
    <t>20层</t>
    <phoneticPr fontId="135" type="noConversion"/>
  </si>
  <si>
    <t>北京盛世宏明投资基金管理有限公司</t>
    <phoneticPr fontId="135" type="noConversion"/>
  </si>
  <si>
    <t>2020.1.20-2020.3.19、2021.1.20-2021.3.19、2022.1.20-2022.3.19、2022.12.20-2023.1.19</t>
    <phoneticPr fontId="135" type="noConversion"/>
  </si>
  <si>
    <t>2102/2103/2104</t>
    <phoneticPr fontId="135" type="noConversion"/>
  </si>
  <si>
    <t>北京花卷儿科技有限公司</t>
    <phoneticPr fontId="135" type="noConversion"/>
  </si>
  <si>
    <t>2020.12.10-2021.2.9、2021.12.9-2022.1.9、2022.11.10-12.9</t>
    <phoneticPr fontId="135" type="noConversion"/>
  </si>
  <si>
    <t>2021.5.10-2021.8.9</t>
    <phoneticPr fontId="135" type="noConversion"/>
  </si>
  <si>
    <t>2021.8.10-2021.11.9</t>
    <phoneticPr fontId="135" type="noConversion"/>
  </si>
  <si>
    <t>2101/2107</t>
    <phoneticPr fontId="135" type="noConversion"/>
  </si>
  <si>
    <t>北京智信房地产经纪有限公司</t>
    <phoneticPr fontId="135" type="noConversion"/>
  </si>
  <si>
    <t>2021.3.15-4.14、2021.4.15-5.14、2022.3.15-4.14、2023.2.15-3.14、2024.2.15-3.14</t>
    <phoneticPr fontId="135" type="noConversion"/>
  </si>
  <si>
    <t>2021.3.15-2021.8.14/优惠期2021.3.15-2021.5.14</t>
    <phoneticPr fontId="135" type="noConversion"/>
  </si>
  <si>
    <t>2021.8.15-2021.11.14</t>
    <phoneticPr fontId="135" type="noConversion"/>
  </si>
  <si>
    <t>2108</t>
    <phoneticPr fontId="135" type="noConversion"/>
  </si>
  <si>
    <t>北京志信源墅房地产经纪有限公司</t>
    <phoneticPr fontId="135" type="noConversion"/>
  </si>
  <si>
    <t>2201/2207/2208</t>
  </si>
  <si>
    <t>北京伍加伊科技有限公司</t>
    <phoneticPr fontId="135" type="noConversion"/>
  </si>
  <si>
    <t>2020.10.20-2020.11.19、2021.9.20-2021.10.19、2021.10.20-2021.11.19、2022.9.20-2022.10.19、2022.10.20-2022.11.19</t>
    <phoneticPr fontId="135" type="noConversion"/>
  </si>
  <si>
    <t>2021.8.20-2022.1.19/优惠期2021.9.20-2021.11.19</t>
    <phoneticPr fontId="135" type="noConversion"/>
  </si>
  <si>
    <t>2202/2203</t>
  </si>
  <si>
    <t>北京凌晨三点管理咨询有限公司</t>
    <phoneticPr fontId="135" type="noConversion"/>
  </si>
  <si>
    <t>2204</t>
    <phoneticPr fontId="135" type="noConversion"/>
  </si>
  <si>
    <t>西安比思科半导体设备有限公司北京分公司</t>
    <phoneticPr fontId="135" type="noConversion"/>
  </si>
  <si>
    <t>2024.4.19-5.18、2022.4.19-5.18、2023.4.19-5.18</t>
    <phoneticPr fontId="135" type="noConversion"/>
  </si>
  <si>
    <t>2021.4.19-2021.8.18/优惠期2021.4.19-2021.5.18</t>
    <phoneticPr fontId="135" type="noConversion"/>
  </si>
  <si>
    <t>2021.8.19-2021.11.18</t>
    <phoneticPr fontId="135" type="noConversion"/>
  </si>
  <si>
    <t>2401/2402</t>
    <phoneticPr fontId="135" type="noConversion"/>
  </si>
  <si>
    <t>熠昭（北京）医药科技有限公司</t>
    <phoneticPr fontId="135" type="noConversion"/>
  </si>
  <si>
    <t>2021.7.1-8.31、2022.7.1-7.31、2023.6.1-6.30、2024.6.1-6.30</t>
    <phoneticPr fontId="135" type="noConversion"/>
  </si>
  <si>
    <t>2021-6-21 2021-6-18</t>
    <phoneticPr fontId="135" type="noConversion"/>
  </si>
  <si>
    <t>2021.7.1-2021.11.30/优惠期2021.7.1-2021.8.31</t>
    <phoneticPr fontId="135" type="noConversion"/>
  </si>
  <si>
    <t>2403/2404</t>
    <phoneticPr fontId="135" type="noConversion"/>
  </si>
  <si>
    <t>生仝智能科技（北京）有限公司</t>
    <phoneticPr fontId="135" type="noConversion"/>
  </si>
  <si>
    <t>25层</t>
    <phoneticPr fontId="135" type="noConversion"/>
  </si>
  <si>
    <t>方同舟控股有限公司</t>
    <phoneticPr fontId="135" type="noConversion"/>
  </si>
  <si>
    <t>2021.9.10-11.9、2022.9.10-10.9、2023.9.10-10.9</t>
    <phoneticPr fontId="135" type="noConversion"/>
  </si>
  <si>
    <t>2021.9.10-2022.2.9/优惠期2021.9.10-2021.11.9</t>
    <phoneticPr fontId="135" type="noConversion"/>
  </si>
  <si>
    <t>3202/3203</t>
  </si>
  <si>
    <t>北京泽桥医疗科技股份有限公司</t>
    <phoneticPr fontId="135" type="noConversion"/>
  </si>
  <si>
    <t>2018.04.01-2018.9.30</t>
  </si>
  <si>
    <t>2021.10.1-2021.12.31</t>
    <phoneticPr fontId="135" type="noConversion"/>
  </si>
  <si>
    <t>3001/3004</t>
    <phoneticPr fontId="135" type="noConversion"/>
  </si>
  <si>
    <t>合计</t>
  </si>
  <si>
    <t>凯朋</t>
  </si>
  <si>
    <t>总面积</t>
  </si>
  <si>
    <t>使用面积</t>
  </si>
  <si>
    <t>42层</t>
    <phoneticPr fontId="135" type="noConversion"/>
  </si>
  <si>
    <t>可出租面积</t>
  </si>
  <si>
    <t>出租率</t>
  </si>
  <si>
    <t>空置面积</t>
  </si>
  <si>
    <t>空置率</t>
  </si>
  <si>
    <t>单价</t>
    <phoneticPr fontId="135" type="noConversion"/>
  </si>
  <si>
    <t>天骥智谷</t>
    <phoneticPr fontId="135" type="noConversion"/>
  </si>
  <si>
    <t>钰源国际</t>
    <phoneticPr fontId="135" type="noConversion"/>
  </si>
  <si>
    <t>同和中心</t>
    <phoneticPr fontId="135" type="noConversion"/>
  </si>
  <si>
    <t>运通博远阁</t>
    <phoneticPr fontId="135" type="noConversion"/>
  </si>
  <si>
    <t>北京商务公园</t>
    <phoneticPr fontId="135" type="noConversion"/>
  </si>
  <si>
    <t>枢密院·尖子班</t>
    <phoneticPr fontId="135" type="noConversion"/>
  </si>
  <si>
    <t>北京经开数字新工场</t>
    <phoneticPr fontId="135" type="noConversion"/>
  </si>
  <si>
    <t>富兴国际中心</t>
    <phoneticPr fontId="135" type="noConversion"/>
  </si>
  <si>
    <t>林肯公园</t>
    <phoneticPr fontId="135" type="noConversion"/>
  </si>
  <si>
    <t>兰格加华产业园</t>
    <phoneticPr fontId="135" type="noConversion"/>
  </si>
  <si>
    <t>台铭国际企业花园</t>
    <phoneticPr fontId="135" type="noConversion"/>
  </si>
  <si>
    <t>租金</t>
  </si>
  <si>
    <t>比较法-工业售价</t>
  </si>
  <si>
    <t>比较法-工业售价</t>
    <phoneticPr fontId="17" type="noConversion"/>
  </si>
  <si>
    <t>五通</t>
  </si>
  <si>
    <t>多层板楼</t>
    <phoneticPr fontId="135" type="noConversion"/>
  </si>
  <si>
    <t>钢混</t>
    <phoneticPr fontId="135" type="noConversion"/>
  </si>
  <si>
    <t>普通装修</t>
  </si>
  <si>
    <t>普通装修</t>
    <phoneticPr fontId="135" type="noConversion"/>
  </si>
  <si>
    <t>部分装修</t>
    <phoneticPr fontId="135" type="noConversion"/>
  </si>
  <si>
    <t>整租</t>
    <phoneticPr fontId="135" type="noConversion"/>
  </si>
  <si>
    <t>散租</t>
    <phoneticPr fontId="135" type="noConversion"/>
  </si>
  <si>
    <t>租赁方式</t>
    <phoneticPr fontId="135" type="noConversion"/>
  </si>
  <si>
    <t>天道联合大厦</t>
    <phoneticPr fontId="135" type="noConversion"/>
  </si>
  <si>
    <r>
      <t>嘉捷B</t>
    </r>
    <r>
      <rPr>
        <sz val="11"/>
        <color theme="1"/>
        <rFont val="宋体"/>
        <family val="3"/>
        <charset val="134"/>
        <scheme val="minor"/>
      </rPr>
      <t>OX企业汇</t>
    </r>
    <phoneticPr fontId="135" type="noConversion"/>
  </si>
  <si>
    <t>中航工业科技商务园</t>
    <phoneticPr fontId="135" type="noConversion"/>
  </si>
  <si>
    <t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t>
    <phoneticPr fontId="41" type="noConversion"/>
  </si>
  <si>
    <t>估价对象所在区域基础设施水平-五通</t>
    <phoneticPr fontId="25" type="noConversion"/>
  </si>
  <si>
    <t>该园区内无污染型企业，绿化情况一般，卫生条件一般，整体环境状况一般</t>
    <phoneticPr fontId="41" type="noConversion"/>
  </si>
  <si>
    <t>钢混</t>
    <phoneticPr fontId="32" type="noConversion"/>
  </si>
  <si>
    <t>普通装修</t>
    <phoneticPr fontId="32" type="noConversion"/>
  </si>
  <si>
    <t>部分装修</t>
    <phoneticPr fontId="32" type="noConversion"/>
  </si>
  <si>
    <r>
      <rPr>
        <sz val="11"/>
        <rFont val="宋体"/>
        <family val="3"/>
        <charset val="134"/>
      </rPr>
      <t>距离亦庄线经海路站约</t>
    </r>
    <r>
      <rPr>
        <sz val="11"/>
        <rFont val="Arial"/>
        <family val="2"/>
      </rPr>
      <t>600</t>
    </r>
    <r>
      <rPr>
        <sz val="11"/>
        <rFont val="宋体"/>
        <family val="3"/>
        <charset val="134"/>
      </rPr>
      <t>米，距离京沪高速约</t>
    </r>
    <r>
      <rPr>
        <sz val="11"/>
        <rFont val="Arial"/>
        <family val="2"/>
      </rPr>
      <t>500</t>
    </r>
    <r>
      <rPr>
        <sz val="11"/>
        <rFont val="宋体"/>
        <family val="3"/>
        <charset val="134"/>
      </rPr>
      <t>米；周边有</t>
    </r>
    <r>
      <rPr>
        <sz val="11"/>
        <rFont val="Arial"/>
        <family val="2"/>
      </rPr>
      <t>T12</t>
    </r>
    <r>
      <rPr>
        <sz val="11"/>
        <rFont val="宋体"/>
        <family val="3"/>
        <charset val="134"/>
      </rPr>
      <t>路、专</t>
    </r>
    <r>
      <rPr>
        <sz val="11"/>
        <rFont val="Arial"/>
        <family val="2"/>
      </rPr>
      <t>188</t>
    </r>
    <r>
      <rPr>
        <sz val="11"/>
        <rFont val="宋体"/>
        <family val="3"/>
        <charset val="134"/>
      </rPr>
      <t>路、</t>
    </r>
    <r>
      <rPr>
        <sz val="11"/>
        <rFont val="Arial"/>
        <family val="2"/>
      </rPr>
      <t>523</t>
    </r>
    <r>
      <rPr>
        <sz val="11"/>
        <rFont val="宋体"/>
        <family val="3"/>
        <charset val="134"/>
      </rPr>
      <t>路等公交线路途径并设立站点，综合评价交通便捷度较好。</t>
    </r>
    <phoneticPr fontId="32" type="noConversion"/>
  </si>
  <si>
    <t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t>
    <phoneticPr fontId="32" type="noConversion"/>
  </si>
  <si>
    <t xml:space="preserve">银行：中国银行、北京农商银行、北京银行等金融网点；
医院：北京陆道培医院等医疗网点；
学校：国家开放大学八一学院、通州区红星小学、马驹桥镇实验小学等教育机构；
商业：经海万家生活超市、世纪华联生活超市等商业网点；
综上，公共配套设施一般
</t>
    <phoneticPr fontId="32" type="noConversion"/>
  </si>
  <si>
    <r>
      <rPr>
        <sz val="11"/>
        <rFont val="宋体"/>
        <family val="3"/>
        <charset val="134"/>
      </rPr>
      <t>距离</t>
    </r>
    <r>
      <rPr>
        <sz val="11"/>
        <rFont val="Arial"/>
        <family val="2"/>
      </rPr>
      <t>17</t>
    </r>
    <r>
      <rPr>
        <sz val="11"/>
        <rFont val="宋体"/>
        <family val="3"/>
        <charset val="134"/>
      </rPr>
      <t>号线北神树站约</t>
    </r>
    <r>
      <rPr>
        <sz val="11"/>
        <rFont val="Arial"/>
        <family val="2"/>
      </rPr>
      <t>600</t>
    </r>
    <r>
      <rPr>
        <sz val="11"/>
        <rFont val="宋体"/>
        <family val="3"/>
        <charset val="134"/>
      </rPr>
      <t>米，距离京沪高速约</t>
    </r>
    <r>
      <rPr>
        <sz val="11"/>
        <rFont val="Arial"/>
        <family val="2"/>
      </rPr>
      <t>2.5</t>
    </r>
    <r>
      <rPr>
        <sz val="11"/>
        <rFont val="宋体"/>
        <family val="3"/>
        <charset val="134"/>
      </rPr>
      <t>公里、东五环约</t>
    </r>
    <r>
      <rPr>
        <sz val="11"/>
        <rFont val="Arial"/>
        <family val="2"/>
      </rPr>
      <t>2</t>
    </r>
    <r>
      <rPr>
        <sz val="11"/>
        <rFont val="宋体"/>
        <family val="3"/>
        <charset val="134"/>
      </rPr>
      <t>公里；周边有专</t>
    </r>
    <r>
      <rPr>
        <sz val="11"/>
        <rFont val="Arial"/>
        <family val="2"/>
      </rPr>
      <t>182</t>
    </r>
    <r>
      <rPr>
        <sz val="11"/>
        <rFont val="宋体"/>
        <family val="3"/>
        <charset val="134"/>
      </rPr>
      <t>路、</t>
    </r>
    <r>
      <rPr>
        <sz val="11"/>
        <rFont val="Arial"/>
        <family val="2"/>
      </rPr>
      <t>440</t>
    </r>
    <r>
      <rPr>
        <sz val="11"/>
        <rFont val="宋体"/>
        <family val="3"/>
        <charset val="134"/>
      </rPr>
      <t>路、</t>
    </r>
    <r>
      <rPr>
        <sz val="11"/>
        <rFont val="Arial"/>
        <family val="2"/>
      </rPr>
      <t>637</t>
    </r>
    <r>
      <rPr>
        <sz val="11"/>
        <rFont val="宋体"/>
        <family val="3"/>
        <charset val="134"/>
      </rPr>
      <t>路、</t>
    </r>
    <r>
      <rPr>
        <sz val="11"/>
        <rFont val="Arial"/>
        <family val="2"/>
      </rPr>
      <t>820</t>
    </r>
    <r>
      <rPr>
        <sz val="11"/>
        <rFont val="宋体"/>
        <family val="3"/>
        <charset val="134"/>
      </rPr>
      <t>路等公交线路途径并设立站点，综合评价交通便捷度较好。</t>
    </r>
    <phoneticPr fontId="32" type="noConversion"/>
  </si>
  <si>
    <t>该园区内无污染型企业，周边有梧桐公园等，绿化情况一般，卫生条件一般，整体环境状况一般</t>
    <phoneticPr fontId="32" type="noConversion"/>
  </si>
  <si>
    <r>
      <rPr>
        <b/>
        <sz val="12"/>
        <color rgb="FF333333"/>
        <rFont val="宋体"/>
        <family val="3"/>
        <charset val="134"/>
      </rPr>
      <t>北京市通州区经海五路</t>
    </r>
    <r>
      <rPr>
        <b/>
        <sz val="12"/>
        <color rgb="FF333333"/>
        <rFont val="Tahoma"/>
        <family val="2"/>
      </rPr>
      <t>1</t>
    </r>
    <r>
      <rPr>
        <b/>
        <sz val="12"/>
        <color rgb="FF333333"/>
        <rFont val="宋体"/>
        <family val="3"/>
        <charset val="134"/>
      </rPr>
      <t>号院</t>
    </r>
    <r>
      <rPr>
        <b/>
        <sz val="12"/>
        <color rgb="FF333333"/>
        <rFont val="Tahoma"/>
        <family val="2"/>
      </rPr>
      <t>8</t>
    </r>
    <r>
      <rPr>
        <b/>
        <sz val="12"/>
        <color rgb="FF333333"/>
        <rFont val="宋体"/>
        <family val="3"/>
        <charset val="134"/>
      </rPr>
      <t>号楼</t>
    </r>
    <r>
      <rPr>
        <b/>
        <sz val="12"/>
        <color rgb="FF333333"/>
        <rFont val="Tahoma"/>
        <family val="2"/>
      </rPr>
      <t>-1</t>
    </r>
    <r>
      <rPr>
        <b/>
        <sz val="12"/>
        <color rgb="FF333333"/>
        <rFont val="宋体"/>
        <family val="3"/>
        <charset val="134"/>
      </rPr>
      <t>至</t>
    </r>
    <r>
      <rPr>
        <b/>
        <sz val="12"/>
        <color rgb="FF333333"/>
        <rFont val="Tahoma"/>
        <family val="2"/>
      </rPr>
      <t>6</t>
    </r>
    <r>
      <rPr>
        <b/>
        <sz val="12"/>
        <color rgb="FF333333"/>
        <rFont val="宋体"/>
        <family val="3"/>
        <charset val="134"/>
      </rPr>
      <t>层</t>
    </r>
    <r>
      <rPr>
        <b/>
        <sz val="12"/>
        <color rgb="FF333333"/>
        <rFont val="Tahoma"/>
        <family val="2"/>
      </rPr>
      <t>1-101</t>
    </r>
    <r>
      <rPr>
        <b/>
        <sz val="12"/>
        <color rgb="FFFF0000"/>
        <rFont val="宋体"/>
        <family val="3"/>
        <charset val="134"/>
      </rPr>
      <t>（国际企业大道）</t>
    </r>
    <phoneticPr fontId="135" type="noConversion"/>
  </si>
  <si>
    <r>
      <rPr>
        <b/>
        <sz val="12"/>
        <color rgb="FF333333"/>
        <rFont val="宋体"/>
        <family val="3"/>
        <charset val="134"/>
      </rPr>
      <t>北京市经济开发区经海三路</t>
    </r>
    <r>
      <rPr>
        <b/>
        <sz val="12"/>
        <color rgb="FF333333"/>
        <rFont val="Arial"/>
        <family val="2"/>
      </rPr>
      <t>109</t>
    </r>
    <r>
      <rPr>
        <b/>
        <sz val="12"/>
        <color rgb="FF333333"/>
        <rFont val="宋体"/>
        <family val="3"/>
        <charset val="134"/>
      </rPr>
      <t>号院</t>
    </r>
    <r>
      <rPr>
        <b/>
        <sz val="12"/>
        <color rgb="FF333333"/>
        <rFont val="Arial"/>
        <family val="2"/>
      </rPr>
      <t>21</t>
    </r>
    <r>
      <rPr>
        <b/>
        <sz val="12"/>
        <color rgb="FF333333"/>
        <rFont val="宋体"/>
        <family val="3"/>
        <charset val="134"/>
      </rPr>
      <t>号楼</t>
    </r>
    <r>
      <rPr>
        <b/>
        <sz val="12"/>
        <color rgb="FF333333"/>
        <rFont val="Arial"/>
        <family val="2"/>
      </rPr>
      <t>-1</t>
    </r>
    <r>
      <rPr>
        <b/>
        <sz val="12"/>
        <color rgb="FF333333"/>
        <rFont val="宋体"/>
        <family val="3"/>
        <charset val="134"/>
      </rPr>
      <t>至</t>
    </r>
    <r>
      <rPr>
        <b/>
        <sz val="12"/>
        <color rgb="FF333333"/>
        <rFont val="Arial"/>
        <family val="2"/>
      </rPr>
      <t>5</t>
    </r>
    <r>
      <rPr>
        <b/>
        <sz val="12"/>
        <color rgb="FF333333"/>
        <rFont val="宋体"/>
        <family val="3"/>
        <charset val="134"/>
      </rPr>
      <t>层</t>
    </r>
    <r>
      <rPr>
        <b/>
        <sz val="12"/>
        <color rgb="FF333333"/>
        <rFont val="Arial"/>
        <family val="2"/>
      </rPr>
      <t>101</t>
    </r>
    <r>
      <rPr>
        <b/>
        <sz val="12"/>
        <color rgb="FF333333"/>
        <rFont val="宋体"/>
        <family val="3"/>
        <charset val="134"/>
      </rPr>
      <t>不动产</t>
    </r>
    <r>
      <rPr>
        <b/>
        <sz val="12"/>
        <color rgb="FFFF0000"/>
        <rFont val="宋体"/>
        <family val="3"/>
        <charset val="134"/>
      </rPr>
      <t>（天骥智谷）</t>
    </r>
    <phoneticPr fontId="135" type="noConversion"/>
  </si>
  <si>
    <r>
      <rPr>
        <sz val="12"/>
        <color rgb="FF333333"/>
        <rFont val="宋体"/>
        <family val="3"/>
        <charset val="134"/>
      </rPr>
      <t>北京市通州区经海六路</t>
    </r>
    <r>
      <rPr>
        <sz val="12"/>
        <color rgb="FF333333"/>
        <rFont val="Tahoma"/>
        <family val="2"/>
      </rPr>
      <t>1</t>
    </r>
    <r>
      <rPr>
        <sz val="12"/>
        <color rgb="FF333333"/>
        <rFont val="宋体"/>
        <family val="3"/>
        <charset val="134"/>
      </rPr>
      <t>号院</t>
    </r>
    <r>
      <rPr>
        <sz val="12"/>
        <color rgb="FF333333"/>
        <rFont val="Tahoma"/>
        <family val="2"/>
      </rPr>
      <t>1</t>
    </r>
    <r>
      <rPr>
        <sz val="12"/>
        <color rgb="FF333333"/>
        <rFont val="宋体"/>
        <family val="3"/>
        <charset val="134"/>
      </rPr>
      <t>号楼</t>
    </r>
    <r>
      <rPr>
        <sz val="12"/>
        <color rgb="FF333333"/>
        <rFont val="Tahoma"/>
        <family val="2"/>
      </rPr>
      <t>4</t>
    </r>
    <r>
      <rPr>
        <sz val="12"/>
        <color rgb="FF333333"/>
        <rFont val="宋体"/>
        <family val="3"/>
        <charset val="134"/>
      </rPr>
      <t>层</t>
    </r>
    <r>
      <rPr>
        <sz val="12"/>
        <color rgb="FF333333"/>
        <rFont val="Tahoma"/>
        <family val="2"/>
      </rPr>
      <t>408</t>
    </r>
    <r>
      <rPr>
        <sz val="12"/>
        <color rgb="FFFF0000"/>
        <rFont val="宋体"/>
        <family val="3"/>
        <charset val="134"/>
      </rPr>
      <t>（尖子班）</t>
    </r>
    <phoneticPr fontId="135" type="noConversion"/>
  </si>
  <si>
    <r>
      <rPr>
        <b/>
        <sz val="12"/>
        <color rgb="FF333333"/>
        <rFont val="宋体"/>
        <family val="3"/>
        <charset val="134"/>
      </rPr>
      <t>通州区经海五路</t>
    </r>
    <r>
      <rPr>
        <b/>
        <sz val="12"/>
        <color rgb="FF333333"/>
        <rFont val="Arial"/>
        <family val="2"/>
      </rPr>
      <t>1</t>
    </r>
    <r>
      <rPr>
        <b/>
        <sz val="12"/>
        <color rgb="FF333333"/>
        <rFont val="宋体"/>
        <family val="3"/>
        <charset val="134"/>
      </rPr>
      <t>号院</t>
    </r>
    <r>
      <rPr>
        <b/>
        <sz val="12"/>
        <color rgb="FF333333"/>
        <rFont val="Arial"/>
        <family val="2"/>
      </rPr>
      <t>45</t>
    </r>
    <r>
      <rPr>
        <b/>
        <sz val="12"/>
        <color rgb="FF333333"/>
        <rFont val="宋体"/>
        <family val="3"/>
        <charset val="134"/>
      </rPr>
      <t>号楼（国际企业大道）</t>
    </r>
    <phoneticPr fontId="135" type="noConversion"/>
  </si>
  <si>
    <r>
      <t> </t>
    </r>
    <r>
      <rPr>
        <b/>
        <sz val="12"/>
        <color rgb="FF333333"/>
        <rFont val="宋体"/>
        <family val="3"/>
        <charset val="134"/>
      </rPr>
      <t>北京市经济开发区经海三路</t>
    </r>
    <r>
      <rPr>
        <b/>
        <sz val="12"/>
        <color rgb="FF333333"/>
        <rFont val="Arial"/>
        <family val="2"/>
      </rPr>
      <t>109</t>
    </r>
    <r>
      <rPr>
        <b/>
        <sz val="12"/>
        <color rgb="FF333333"/>
        <rFont val="宋体"/>
        <family val="3"/>
        <charset val="134"/>
      </rPr>
      <t>号院</t>
    </r>
    <r>
      <rPr>
        <b/>
        <sz val="12"/>
        <color rgb="FF333333"/>
        <rFont val="Arial"/>
        <family val="2"/>
      </rPr>
      <t>21</t>
    </r>
    <r>
      <rPr>
        <b/>
        <sz val="12"/>
        <color rgb="FF333333"/>
        <rFont val="宋体"/>
        <family val="3"/>
        <charset val="134"/>
      </rPr>
      <t>号楼</t>
    </r>
    <r>
      <rPr>
        <b/>
        <sz val="12"/>
        <color rgb="FF333333"/>
        <rFont val="Arial"/>
        <family val="2"/>
      </rPr>
      <t>-1</t>
    </r>
    <r>
      <rPr>
        <b/>
        <sz val="12"/>
        <color rgb="FF333333"/>
        <rFont val="宋体"/>
        <family val="3"/>
        <charset val="134"/>
      </rPr>
      <t>至</t>
    </r>
    <r>
      <rPr>
        <b/>
        <sz val="12"/>
        <color rgb="FF333333"/>
        <rFont val="Arial"/>
        <family val="2"/>
      </rPr>
      <t>5</t>
    </r>
    <r>
      <rPr>
        <b/>
        <sz val="12"/>
        <color rgb="FF333333"/>
        <rFont val="宋体"/>
        <family val="3"/>
        <charset val="134"/>
      </rPr>
      <t>层</t>
    </r>
    <r>
      <rPr>
        <b/>
        <sz val="12"/>
        <color rgb="FF333333"/>
        <rFont val="Arial"/>
        <family val="2"/>
      </rPr>
      <t>101</t>
    </r>
    <r>
      <rPr>
        <b/>
        <sz val="12"/>
        <color rgb="FF333333"/>
        <rFont val="宋体"/>
        <family val="3"/>
        <charset val="134"/>
      </rPr>
      <t>不动产</t>
    </r>
    <r>
      <rPr>
        <b/>
        <sz val="12"/>
        <color rgb="FFFF0000"/>
        <rFont val="宋体"/>
        <family val="3"/>
        <charset val="134"/>
      </rPr>
      <t>（天骥智谷）</t>
    </r>
    <phoneticPr fontId="135" type="noConversion"/>
  </si>
  <si>
    <t>天道联合</t>
    <phoneticPr fontId="4" type="noConversion"/>
  </si>
  <si>
    <t>嘉捷BOX企业汇</t>
    <phoneticPr fontId="4" type="noConversion"/>
  </si>
  <si>
    <t>https://paimai.jd.com/215432836</t>
    <phoneticPr fontId="135" type="noConversion"/>
  </si>
  <si>
    <t>https://paimai.jd.com/117306353</t>
    <phoneticPr fontId="135" type="noConversion"/>
  </si>
  <si>
    <t>天骥智谷</t>
    <phoneticPr fontId="4" type="noConversion"/>
  </si>
  <si>
    <r>
      <rPr>
        <sz val="11"/>
        <rFont val="宋体"/>
        <family val="3"/>
        <charset val="134"/>
      </rPr>
      <t>位于亦庄开发区，周边有天骥智谷、汇龙森三园、嘉捷</t>
    </r>
    <r>
      <rPr>
        <sz val="11"/>
        <rFont val="Arial"/>
        <family val="2"/>
      </rPr>
      <t>BDA</t>
    </r>
    <r>
      <rPr>
        <sz val="11"/>
        <rFont val="宋体"/>
        <family val="3"/>
        <charset val="134"/>
      </rPr>
      <t>企业汇等，园区建设成熟度好，产业集聚程度较好</t>
    </r>
    <phoneticPr fontId="32" type="noConversion"/>
  </si>
  <si>
    <t>估价对象距离亦庄T1线定海园西站约1.5公里，距离京沪高速约1.2公里；周边有兴58路、兴78路、专185路等公交线路途径并设立站点，综合评价交通便捷度较好。</t>
    <phoneticPr fontId="41" type="noConversion"/>
  </si>
  <si>
    <t>成新度</t>
    <phoneticPr fontId="135" type="noConversion"/>
  </si>
  <si>
    <t>70%-80%（含）</t>
    <phoneticPr fontId="135" type="noConversion"/>
  </si>
  <si>
    <t>成新度</t>
    <phoneticPr fontId="32" type="noConversion"/>
  </si>
  <si>
    <t>平层</t>
  </si>
  <si>
    <t>平层</t>
    <phoneticPr fontId="32" type="noConversion"/>
  </si>
  <si>
    <t>五通</t>
    <phoneticPr fontId="32" type="noConversion"/>
  </si>
  <si>
    <t>七通</t>
  </si>
  <si>
    <t>估价对象位于亦庄开发区，周边有瑞森国际大厦、易城时代广场、嘉捷BOX企业汇、亦庄生物医药园，园区建设成熟度较好，产业集聚程度较好</t>
    <phoneticPr fontId="41" type="noConversion"/>
  </si>
  <si>
    <r>
      <rPr>
        <sz val="11"/>
        <rFont val="宋体"/>
        <family val="3"/>
        <charset val="134"/>
      </rPr>
      <t>位于亦庄开发区，周边有嘉捷</t>
    </r>
    <r>
      <rPr>
        <sz val="11"/>
        <rFont val="Arial"/>
        <family val="2"/>
      </rPr>
      <t>BOX</t>
    </r>
    <r>
      <rPr>
        <sz val="11"/>
        <rFont val="宋体"/>
        <family val="3"/>
        <charset val="134"/>
      </rPr>
      <t>企业汇、亦庄生物医药园、亦庄新城工业园区，园区建设成熟度较好，产业集聚程度较好</t>
    </r>
    <phoneticPr fontId="32" type="noConversion"/>
  </si>
  <si>
    <t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t>
  </si>
  <si>
    <t>北京经开企业大道</t>
    <phoneticPr fontId="135" type="noConversion"/>
  </si>
  <si>
    <t>该园区内无污染型企业，绿化情况一般，卫生条件一般，整体环境状况一般</t>
    <phoneticPr fontId="32" type="noConversion"/>
  </si>
  <si>
    <r>
      <rPr>
        <sz val="11"/>
        <rFont val="宋体"/>
        <family val="3"/>
        <charset val="134"/>
      </rPr>
      <t>距离亦庄</t>
    </r>
    <r>
      <rPr>
        <sz val="11"/>
        <rFont val="Arial"/>
        <family val="3"/>
        <charset val="134"/>
      </rPr>
      <t>T1</t>
    </r>
    <r>
      <rPr>
        <sz val="11"/>
        <rFont val="宋体"/>
        <family val="3"/>
        <charset val="134"/>
      </rPr>
      <t>线定海园西站约</t>
    </r>
    <r>
      <rPr>
        <sz val="11"/>
        <rFont val="Arial"/>
        <family val="3"/>
        <charset val="134"/>
      </rPr>
      <t>200</t>
    </r>
    <r>
      <rPr>
        <sz val="11"/>
        <rFont val="宋体"/>
        <family val="3"/>
        <charset val="134"/>
      </rPr>
      <t>米，距离京沪高速约</t>
    </r>
    <r>
      <rPr>
        <sz val="11"/>
        <rFont val="Arial"/>
        <family val="3"/>
        <charset val="134"/>
      </rPr>
      <t>1.6</t>
    </r>
    <r>
      <rPr>
        <sz val="11"/>
        <rFont val="宋体"/>
        <family val="3"/>
        <charset val="134"/>
      </rPr>
      <t>公里；周边有</t>
    </r>
    <r>
      <rPr>
        <sz val="11"/>
        <rFont val="Arial"/>
        <family val="3"/>
        <charset val="134"/>
      </rPr>
      <t>T11</t>
    </r>
    <r>
      <rPr>
        <sz val="11"/>
        <rFont val="宋体"/>
        <family val="3"/>
        <charset val="134"/>
      </rPr>
      <t>路、兴</t>
    </r>
    <r>
      <rPr>
        <sz val="11"/>
        <rFont val="Arial"/>
        <family val="3"/>
        <charset val="134"/>
      </rPr>
      <t>58</t>
    </r>
    <r>
      <rPr>
        <sz val="11"/>
        <rFont val="宋体"/>
        <family val="3"/>
        <charset val="134"/>
      </rPr>
      <t>路、专</t>
    </r>
    <r>
      <rPr>
        <sz val="11"/>
        <rFont val="Arial"/>
        <family val="3"/>
        <charset val="134"/>
      </rPr>
      <t>182</t>
    </r>
    <r>
      <rPr>
        <sz val="11"/>
        <rFont val="宋体"/>
        <family val="3"/>
        <charset val="134"/>
      </rPr>
      <t>路、专</t>
    </r>
    <r>
      <rPr>
        <sz val="11"/>
        <rFont val="Arial"/>
        <family val="3"/>
        <charset val="134"/>
      </rPr>
      <t>184</t>
    </r>
    <r>
      <rPr>
        <sz val="11"/>
        <rFont val="宋体"/>
        <family val="3"/>
        <charset val="134"/>
      </rPr>
      <t>路等公交线路途径并设立站点，综合评价交通便捷度较好。</t>
    </r>
    <phoneticPr fontId="32" type="noConversion"/>
  </si>
  <si>
    <r>
      <rPr>
        <sz val="11"/>
        <rFont val="宋体"/>
        <family val="3"/>
        <charset val="134"/>
      </rPr>
      <t>位于亦庄开发区，周边有瑞森国际大厦、易城时代广场、嘉捷</t>
    </r>
    <r>
      <rPr>
        <sz val="11"/>
        <rFont val="Arial"/>
        <family val="3"/>
        <charset val="134"/>
      </rPr>
      <t>BOX</t>
    </r>
    <r>
      <rPr>
        <sz val="11"/>
        <rFont val="宋体"/>
        <family val="3"/>
        <charset val="134"/>
      </rPr>
      <t>企业汇、亦庄生物医药园，园区建设成熟度较好，产业集聚程度较好</t>
    </r>
    <phoneticPr fontId="32" type="noConversion"/>
  </si>
  <si>
    <t>80%-90%（含）</t>
    <phoneticPr fontId="135" type="noConversion"/>
  </si>
  <si>
    <t>70%-80%（含）</t>
    <phoneticPr fontId="135" type="noConversion"/>
  </si>
  <si>
    <r>
      <t>70%-80%</t>
    </r>
    <r>
      <rPr>
        <sz val="11"/>
        <color indexed="8"/>
        <rFont val="宋体"/>
        <family val="3"/>
        <charset val="134"/>
      </rPr>
      <t>（含）</t>
    </r>
    <phoneticPr fontId="32" type="noConversion"/>
  </si>
  <si>
    <r>
      <t>80%-90%</t>
    </r>
    <r>
      <rPr>
        <sz val="11"/>
        <color indexed="8"/>
        <rFont val="宋体"/>
        <family val="3"/>
        <charset val="134"/>
      </rPr>
      <t>（含）</t>
    </r>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</si>
</sst>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quot;¥&quot;#,##0.00_);[Red]\(&quot;¥&quot;#,##0.00\)"/>
    <numFmt numFmtId="197" formatCode="_(* #,##0.00_);_(* \(#,##0.00\);_(* &quot;-&quot;??_);_(@_)"/>
    <numFmt numFmtId="198" formatCode="#,##0.00_ "/>
    <numFmt numFmtId="199" formatCode="yyyy/mm"/>
    <numFmt numFmtId="200" formatCode="#,##0.00_);[Red]\(#,##0.00\)"/>
    <numFmt numFmtId="201" formatCode="0.00_ ;[Red]\-0.00\ "/>
    <numFmt numFmtId="202" formatCode="0.000"/>
  </numFmts>
  <fonts count="30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2"/>
      <color rgb="FF333333"/>
      <name val="Arial"/>
      <family val="2"/>
    </font>
    <font>
      <sz val="12"/>
      <color rgb="FF333333"/>
      <name val="Tahoma"/>
      <family val="2"/>
    </font>
    <font>
      <b/>
      <sz val="12"/>
      <color rgb="FF333333"/>
      <name val="宋体"/>
      <family val="3"/>
      <charset val="134"/>
    </font>
    <font>
      <sz val="12"/>
      <color rgb="FF000000"/>
      <name val="宋体"/>
      <family val="3"/>
      <charset val="134"/>
      <scheme val="minor"/>
    </font>
    <font>
      <sz val="11"/>
      <color theme="1"/>
      <name val="Microsoft YaHei UI"/>
      <family val="2"/>
      <charset val="134"/>
    </font>
    <font>
      <sz val="11"/>
      <color rgb="FF000000"/>
      <name val="微软雅黑"/>
      <family val="2"/>
      <charset val="134"/>
    </font>
    <font>
      <b/>
      <sz val="18"/>
      <name val="仿宋"/>
      <family val="3"/>
      <charset val="134"/>
    </font>
    <font>
      <b/>
      <sz val="11"/>
      <name val="仿宋"/>
      <family val="3"/>
      <charset val="134"/>
    </font>
    <font>
      <b/>
      <sz val="11"/>
      <name val="方正姚体"/>
      <family val="3"/>
      <charset val="134"/>
    </font>
    <font>
      <b/>
      <sz val="11"/>
      <color rgb="FFFF0000"/>
      <name val="仿宋"/>
      <family val="3"/>
      <charset val="134"/>
    </font>
    <font>
      <sz val="12"/>
      <name val="仿宋"/>
      <family val="3"/>
      <charset val="134"/>
    </font>
    <font>
      <b/>
      <sz val="12"/>
      <name val="仿宋"/>
      <family val="3"/>
      <charset val="134"/>
    </font>
    <font>
      <b/>
      <sz val="14"/>
      <name val="微软雅黑"/>
      <family val="2"/>
      <charset val="134"/>
    </font>
    <font>
      <sz val="14"/>
      <name val="微软雅黑"/>
      <family val="2"/>
      <charset val="134"/>
    </font>
    <font>
      <sz val="11"/>
      <color theme="1"/>
      <name val="微软雅黑"/>
      <family val="2"/>
      <charset val="134"/>
    </font>
    <font>
      <b/>
      <sz val="12"/>
      <name val="微软雅黑"/>
      <family val="2"/>
      <charset val="134"/>
    </font>
    <font>
      <b/>
      <sz val="10"/>
      <name val="微软雅黑"/>
      <family val="2"/>
      <charset val="134"/>
    </font>
    <font>
      <sz val="9"/>
      <name val="微软雅黑"/>
      <family val="2"/>
      <charset val="134"/>
    </font>
    <font>
      <b/>
      <sz val="9"/>
      <name val="微软雅黑"/>
      <family val="2"/>
      <charset val="134"/>
    </font>
    <font>
      <sz val="10"/>
      <color theme="1"/>
      <name val="微软雅黑"/>
      <family val="2"/>
      <charset val="134"/>
    </font>
    <font>
      <sz val="9"/>
      <color theme="1"/>
      <name val="微软雅黑"/>
      <family val="2"/>
      <charset val="134"/>
    </font>
    <font>
      <sz val="10"/>
      <name val="微软雅黑"/>
      <family val="2"/>
      <charset val="134"/>
    </font>
    <font>
      <sz val="12"/>
      <color theme="1"/>
      <name val="微软雅黑"/>
      <family val="2"/>
      <charset val="134"/>
    </font>
    <font>
      <b/>
      <sz val="9"/>
      <name val="Tahoma"/>
      <family val="2"/>
    </font>
    <font>
      <b/>
      <sz val="9"/>
      <name val="宋体"/>
      <family val="3"/>
      <charset val="134"/>
    </font>
    <font>
      <sz val="9"/>
      <name val="Tahoma"/>
      <family val="2"/>
    </font>
    <font>
      <b/>
      <sz val="9"/>
      <color indexed="81"/>
      <name val="Tahoma"/>
      <family val="2"/>
    </font>
    <font>
      <sz val="9"/>
      <color indexed="81"/>
      <name val="Tahoma"/>
      <family val="2"/>
    </font>
    <font>
      <sz val="11"/>
      <name val="Arial"/>
      <family val="3"/>
      <charset val="134"/>
    </font>
    <font>
      <b/>
      <sz val="12"/>
      <color rgb="FF333333"/>
      <name val="Arial"/>
      <family val="3"/>
      <charset val="134"/>
    </font>
    <font>
      <sz val="12"/>
      <color rgb="FF333333"/>
      <name val="宋体"/>
      <family val="3"/>
      <charset val="134"/>
    </font>
    <font>
      <sz val="12"/>
      <color rgb="FF333333"/>
      <name val="Tahoma"/>
      <family val="3"/>
      <charset val="134"/>
    </font>
    <font>
      <b/>
      <sz val="12"/>
      <color rgb="FF333333"/>
      <name val="Tahoma"/>
      <family val="3"/>
      <charset val="134"/>
    </font>
    <font>
      <b/>
      <sz val="12"/>
      <color rgb="FF333333"/>
      <name val="Tahoma"/>
      <family val="2"/>
    </font>
    <font>
      <sz val="12"/>
      <color rgb="FFFF0000"/>
      <name val="Tahoma"/>
      <family val="2"/>
    </font>
    <font>
      <u/>
      <sz val="11"/>
      <color theme="10"/>
      <name val="宋体"/>
      <family val="3"/>
      <charset val="134"/>
      <scheme val="minor"/>
    </font>
    <font>
      <sz val="10.5"/>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39988402966399123"/>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7">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43" fontId="1" fillId="0" borderId="0" applyFont="0" applyFill="0" applyBorder="0" applyAlignment="0" applyProtection="0">
      <alignment vertical="center"/>
    </xf>
    <xf numFmtId="0" fontId="37" fillId="0" borderId="0"/>
    <xf numFmtId="197" fontId="96" fillId="0" borderId="0" applyFont="0" applyFill="0" applyBorder="0" applyAlignment="0" applyProtection="0">
      <alignment vertical="center"/>
    </xf>
    <xf numFmtId="0" fontId="96" fillId="0" borderId="0">
      <alignment vertical="center"/>
    </xf>
    <xf numFmtId="0" fontId="37" fillId="0" borderId="0">
      <alignment vertical="center"/>
    </xf>
    <xf numFmtId="9" fontId="96" fillId="0" borderId="0" applyFont="0" applyFill="0" applyBorder="0" applyAlignment="0" applyProtection="0">
      <alignment vertical="center"/>
    </xf>
    <xf numFmtId="0" fontId="305" fillId="0" borderId="0" applyNumberFormat="0" applyFill="0" applyBorder="0" applyAlignment="0" applyProtection="0">
      <alignment vertical="center"/>
    </xf>
  </cellStyleXfs>
  <cellXfs count="403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0" fillId="0" borderId="0" xfId="0" applyAlignment="1">
      <alignment vertical="center" wrapText="1"/>
    </xf>
    <xf numFmtId="0" fontId="270" fillId="0" borderId="0" xfId="0" applyFont="1" applyAlignment="1">
      <alignment vertical="center" wrapText="1"/>
    </xf>
    <xf numFmtId="14" fontId="0" fillId="0" borderId="0" xfId="0" applyNumberFormat="1">
      <alignment vertical="center"/>
    </xf>
    <xf numFmtId="0" fontId="96" fillId="0" borderId="0" xfId="0" applyFont="1">
      <alignment vertical="center"/>
    </xf>
    <xf numFmtId="0" fontId="273" fillId="0" borderId="0" xfId="0" applyFont="1">
      <alignmen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1" fillId="12" borderId="0" xfId="19" applyFill="1"/>
    <xf numFmtId="43" fontId="0" fillId="12" borderId="0" xfId="20" applyFont="1" applyFill="1" applyAlignment="1"/>
    <xf numFmtId="0" fontId="1" fillId="12" borderId="0" xfId="19" applyFill="1" applyAlignment="1">
      <alignment wrapText="1"/>
    </xf>
    <xf numFmtId="0" fontId="1" fillId="0" borderId="0" xfId="19"/>
    <xf numFmtId="0" fontId="274" fillId="12" borderId="176" xfId="19" applyFont="1" applyFill="1" applyBorder="1"/>
    <xf numFmtId="43" fontId="274" fillId="12" borderId="176" xfId="20" applyFont="1" applyFill="1" applyBorder="1" applyAlignment="1"/>
    <xf numFmtId="0" fontId="181" fillId="12" borderId="176" xfId="19" applyFont="1" applyFill="1" applyBorder="1" applyAlignment="1">
      <alignment horizontal="right" vertical="center" wrapText="1"/>
    </xf>
    <xf numFmtId="43" fontId="275" fillId="0" borderId="178" xfId="20" applyFont="1" applyFill="1" applyBorder="1" applyAlignment="1">
      <alignment horizontal="center" vertical="center" wrapText="1"/>
    </xf>
    <xf numFmtId="43" fontId="275" fillId="0" borderId="180" xfId="20" applyFont="1" applyFill="1" applyBorder="1" applyAlignment="1">
      <alignment horizontal="center" vertical="center" wrapText="1"/>
    </xf>
    <xf numFmtId="0" fontId="275" fillId="0" borderId="179" xfId="19" applyFont="1" applyBorder="1" applyAlignment="1">
      <alignment horizontal="left" vertical="center"/>
    </xf>
    <xf numFmtId="43" fontId="275" fillId="0" borderId="180" xfId="20" applyFont="1" applyFill="1" applyBorder="1" applyAlignment="1">
      <alignment horizontal="right" vertical="center"/>
    </xf>
    <xf numFmtId="0" fontId="275" fillId="0" borderId="180" xfId="19" applyFont="1" applyBorder="1" applyAlignment="1">
      <alignment horizontal="left" vertical="center"/>
    </xf>
    <xf numFmtId="14" fontId="275" fillId="0" borderId="180" xfId="19" applyNumberFormat="1" applyFont="1" applyBorder="1" applyAlignment="1">
      <alignment horizontal="right" vertical="center"/>
    </xf>
    <xf numFmtId="9" fontId="275" fillId="0" borderId="180" xfId="19" applyNumberFormat="1" applyFont="1" applyBorder="1" applyAlignment="1">
      <alignment horizontal="right" vertical="center" wrapText="1"/>
    </xf>
    <xf numFmtId="196" fontId="0" fillId="0" borderId="0" xfId="20" applyNumberFormat="1" applyFont="1" applyFill="1" applyAlignment="1"/>
    <xf numFmtId="43" fontId="0" fillId="0" borderId="0" xfId="20" applyFont="1" applyFill="1" applyAlignment="1"/>
    <xf numFmtId="43" fontId="0" fillId="0" borderId="0" xfId="20" applyFont="1" applyAlignment="1"/>
    <xf numFmtId="0" fontId="275" fillId="0" borderId="180" xfId="19" applyFont="1" applyBorder="1" applyAlignment="1">
      <alignment horizontal="left" vertical="center" wrapText="1"/>
    </xf>
    <xf numFmtId="43" fontId="274" fillId="0" borderId="180" xfId="20" applyFont="1" applyFill="1" applyBorder="1" applyAlignment="1"/>
    <xf numFmtId="0" fontId="274" fillId="0" borderId="180" xfId="19" applyFont="1" applyBorder="1"/>
    <xf numFmtId="0" fontId="274" fillId="0" borderId="180" xfId="19" applyFont="1" applyBorder="1" applyAlignment="1">
      <alignment wrapText="1"/>
    </xf>
    <xf numFmtId="14" fontId="275" fillId="0" borderId="180" xfId="19" applyNumberFormat="1" applyFont="1" applyBorder="1" applyAlignment="1">
      <alignment horizontal="center" vertical="center"/>
    </xf>
    <xf numFmtId="0" fontId="275" fillId="0" borderId="179" xfId="19" applyFont="1" applyBorder="1" applyAlignment="1">
      <alignment horizontal="center" vertical="center"/>
    </xf>
    <xf numFmtId="43" fontId="275" fillId="0" borderId="180" xfId="20" applyFont="1" applyFill="1" applyBorder="1" applyAlignment="1">
      <alignment horizontal="center" vertical="center"/>
    </xf>
    <xf numFmtId="0" fontId="275" fillId="0" borderId="180" xfId="19" applyFont="1" applyBorder="1" applyAlignment="1">
      <alignment horizontal="center" vertical="center"/>
    </xf>
    <xf numFmtId="0" fontId="275" fillId="0" borderId="179" xfId="19" applyFont="1" applyBorder="1" applyAlignment="1">
      <alignment horizontal="left" vertical="center" wrapText="1"/>
    </xf>
    <xf numFmtId="0" fontId="275" fillId="0" borderId="180" xfId="19" applyFont="1" applyBorder="1" applyAlignment="1">
      <alignment horizontal="right" vertical="center"/>
    </xf>
    <xf numFmtId="0" fontId="275" fillId="0" borderId="179" xfId="19" applyFont="1" applyBorder="1" applyAlignment="1">
      <alignment horizontal="right" vertical="center"/>
    </xf>
    <xf numFmtId="14" fontId="274" fillId="0" borderId="180" xfId="19" applyNumberFormat="1" applyFont="1" applyBorder="1"/>
    <xf numFmtId="0" fontId="1" fillId="0" borderId="0" xfId="19" applyAlignment="1">
      <alignment wrapText="1"/>
    </xf>
    <xf numFmtId="0" fontId="276" fillId="0" borderId="0" xfId="21" applyFont="1" applyAlignment="1">
      <alignment horizontal="center" vertical="center" wrapText="1"/>
    </xf>
    <xf numFmtId="0" fontId="96" fillId="0" borderId="0" xfId="1" applyAlignment="1">
      <alignment vertical="center" wrapText="1"/>
    </xf>
    <xf numFmtId="0" fontId="277" fillId="0" borderId="1" xfId="21" applyFont="1" applyBorder="1" applyAlignment="1">
      <alignment horizontal="center" vertical="center" wrapText="1"/>
    </xf>
    <xf numFmtId="176" fontId="277" fillId="0" borderId="1" xfId="21" applyNumberFormat="1" applyFont="1" applyBorder="1" applyAlignment="1">
      <alignment horizontal="center" vertical="center" wrapText="1"/>
    </xf>
    <xf numFmtId="176" fontId="277" fillId="0" borderId="0" xfId="21" applyNumberFormat="1" applyFont="1" applyAlignment="1">
      <alignment horizontal="center" vertical="center" wrapText="1"/>
    </xf>
    <xf numFmtId="176" fontId="277" fillId="0" borderId="13" xfId="21" applyNumberFormat="1" applyFont="1" applyBorder="1" applyAlignment="1">
      <alignment horizontal="center" vertical="center" wrapText="1"/>
    </xf>
    <xf numFmtId="58" fontId="277" fillId="0" borderId="1" xfId="21" applyNumberFormat="1" applyFont="1" applyBorder="1" applyAlignment="1">
      <alignment horizontal="center" vertical="center" wrapText="1"/>
    </xf>
    <xf numFmtId="176" fontId="277" fillId="0" borderId="2" xfId="21" applyNumberFormat="1" applyFont="1" applyBorder="1" applyAlignment="1">
      <alignment horizontal="center" vertical="center" wrapText="1"/>
    </xf>
    <xf numFmtId="176" fontId="279" fillId="0" borderId="1" xfId="21" applyNumberFormat="1" applyFont="1" applyBorder="1" applyAlignment="1">
      <alignment horizontal="center" vertical="center" wrapText="1"/>
    </xf>
    <xf numFmtId="0" fontId="97" fillId="0" borderId="0" xfId="1" applyFont="1" applyAlignment="1">
      <alignment vertical="center" wrapText="1"/>
    </xf>
    <xf numFmtId="0" fontId="280" fillId="0" borderId="1" xfId="21" applyFont="1" applyBorder="1" applyAlignment="1">
      <alignment horizontal="center" vertical="center" wrapText="1"/>
    </xf>
    <xf numFmtId="176" fontId="281" fillId="0" borderId="1" xfId="21" applyNumberFormat="1" applyFont="1" applyBorder="1" applyAlignment="1">
      <alignment horizontal="center" vertical="center" wrapText="1"/>
    </xf>
    <xf numFmtId="176" fontId="280" fillId="0" borderId="1" xfId="21" applyNumberFormat="1" applyFont="1" applyBorder="1" applyAlignment="1">
      <alignment horizontal="center" vertical="center" wrapText="1"/>
    </xf>
    <xf numFmtId="176" fontId="280" fillId="0" borderId="0" xfId="21" applyNumberFormat="1" applyFont="1" applyAlignment="1">
      <alignment horizontal="center" vertical="center" wrapText="1"/>
    </xf>
    <xf numFmtId="0" fontId="280" fillId="0" borderId="0" xfId="21" applyFont="1" applyAlignment="1">
      <alignment horizontal="center" vertical="center" wrapText="1"/>
    </xf>
    <xf numFmtId="0" fontId="37" fillId="0" borderId="0" xfId="21" applyAlignment="1">
      <alignment vertical="center" wrapText="1"/>
    </xf>
    <xf numFmtId="176" fontId="96" fillId="0" borderId="0" xfId="1" applyNumberFormat="1" applyAlignment="1">
      <alignment vertical="center" wrapText="1"/>
    </xf>
    <xf numFmtId="0" fontId="282" fillId="22" borderId="60" xfId="10" applyFont="1" applyFill="1" applyBorder="1">
      <alignment vertical="center"/>
    </xf>
    <xf numFmtId="14" fontId="282" fillId="14" borderId="60" xfId="10" applyNumberFormat="1" applyFont="1" applyFill="1" applyBorder="1">
      <alignment vertical="center"/>
    </xf>
    <xf numFmtId="0" fontId="282" fillId="14" borderId="60" xfId="10" applyFont="1" applyFill="1" applyBorder="1">
      <alignment vertical="center"/>
    </xf>
    <xf numFmtId="0" fontId="282" fillId="14" borderId="60" xfId="10" applyFont="1" applyFill="1" applyBorder="1" applyAlignment="1">
      <alignment horizontal="left" vertical="center"/>
    </xf>
    <xf numFmtId="0" fontId="283" fillId="14" borderId="60" xfId="10" applyFont="1" applyFill="1" applyBorder="1">
      <alignment vertical="center"/>
    </xf>
    <xf numFmtId="0" fontId="284" fillId="0" borderId="0" xfId="10" applyFont="1">
      <alignment vertical="center"/>
    </xf>
    <xf numFmtId="198" fontId="286" fillId="22" borderId="1" xfId="22" applyNumberFormat="1" applyFont="1" applyFill="1" applyBorder="1" applyAlignment="1">
      <alignment horizontal="center" vertical="center" wrapText="1"/>
    </xf>
    <xf numFmtId="198" fontId="286" fillId="22" borderId="1" xfId="22" applyNumberFormat="1" applyFont="1" applyFill="1" applyBorder="1" applyAlignment="1">
      <alignment vertical="center" wrapText="1"/>
    </xf>
    <xf numFmtId="176" fontId="286" fillId="22" borderId="32" xfId="10" applyNumberFormat="1" applyFont="1" applyFill="1" applyBorder="1" applyAlignment="1">
      <alignment horizontal="center" vertical="center" wrapText="1"/>
    </xf>
    <xf numFmtId="14" fontId="286" fillId="14" borderId="25" xfId="10" applyNumberFormat="1" applyFont="1" applyFill="1" applyBorder="1" applyAlignment="1">
      <alignment horizontal="center" vertical="center"/>
    </xf>
    <xf numFmtId="200" fontId="286" fillId="14" borderId="32" xfId="10" applyNumberFormat="1" applyFont="1" applyFill="1" applyBorder="1" applyAlignment="1">
      <alignment horizontal="center" vertical="center"/>
    </xf>
    <xf numFmtId="198" fontId="286" fillId="14" borderId="49" xfId="22" applyNumberFormat="1" applyFont="1" applyFill="1" applyBorder="1" applyAlignment="1">
      <alignment horizontal="center" vertical="center"/>
    </xf>
    <xf numFmtId="200" fontId="286" fillId="14" borderId="66" xfId="10" applyNumberFormat="1" applyFont="1" applyFill="1" applyBorder="1" applyAlignment="1">
      <alignment horizontal="center" vertical="center"/>
    </xf>
    <xf numFmtId="198" fontId="286" fillId="14" borderId="32" xfId="22" applyNumberFormat="1" applyFont="1" applyFill="1" applyBorder="1" applyAlignment="1">
      <alignment horizontal="center" vertical="center"/>
    </xf>
    <xf numFmtId="198" fontId="286" fillId="14" borderId="32" xfId="22" applyNumberFormat="1" applyFont="1" applyFill="1" applyBorder="1" applyAlignment="1">
      <alignment vertical="center"/>
    </xf>
    <xf numFmtId="198" fontId="286" fillId="14" borderId="32" xfId="22" applyNumberFormat="1" applyFont="1" applyFill="1" applyBorder="1" applyAlignment="1">
      <alignment horizontal="left" vertical="center"/>
    </xf>
    <xf numFmtId="0" fontId="287" fillId="0" borderId="2" xfId="10" applyFont="1" applyBorder="1" applyAlignment="1">
      <alignment horizontal="center" vertical="center"/>
    </xf>
    <xf numFmtId="0" fontId="287" fillId="0" borderId="1" xfId="10" applyFont="1" applyBorder="1" applyAlignment="1">
      <alignment horizontal="center" vertical="center" wrapText="1"/>
    </xf>
    <xf numFmtId="201" fontId="287" fillId="0" borderId="2" xfId="10" applyNumberFormat="1" applyFont="1" applyBorder="1">
      <alignment vertical="center"/>
    </xf>
    <xf numFmtId="201" fontId="287" fillId="0" borderId="1" xfId="10" applyNumberFormat="1" applyFont="1" applyBorder="1">
      <alignment vertical="center"/>
    </xf>
    <xf numFmtId="14" fontId="288" fillId="0" borderId="2" xfId="23" applyNumberFormat="1" applyFont="1" applyBorder="1" applyAlignment="1">
      <alignment horizontal="center" vertical="center"/>
    </xf>
    <xf numFmtId="201" fontId="287" fillId="0" borderId="2" xfId="10" applyNumberFormat="1" applyFont="1" applyBorder="1" applyAlignment="1">
      <alignment horizontal="center" vertical="center"/>
    </xf>
    <xf numFmtId="14" fontId="287" fillId="0" borderId="2" xfId="10" applyNumberFormat="1" applyFont="1" applyBorder="1" applyAlignment="1">
      <alignment horizontal="center" vertical="center"/>
    </xf>
    <xf numFmtId="14" fontId="287" fillId="0" borderId="2" xfId="10" applyNumberFormat="1" applyFont="1" applyBorder="1" applyAlignment="1">
      <alignment horizontal="right" vertical="center"/>
    </xf>
    <xf numFmtId="14" fontId="287" fillId="0" borderId="2" xfId="10" applyNumberFormat="1" applyFont="1" applyBorder="1" applyAlignment="1">
      <alignment horizontal="left" vertical="center"/>
    </xf>
    <xf numFmtId="198" fontId="287" fillId="0" borderId="2" xfId="22" applyNumberFormat="1" applyFont="1" applyFill="1" applyBorder="1" applyAlignment="1">
      <alignment horizontal="center" vertical="center"/>
    </xf>
    <xf numFmtId="198" fontId="287" fillId="0" borderId="2" xfId="22" applyNumberFormat="1" applyFont="1" applyFill="1" applyBorder="1" applyAlignment="1">
      <alignment horizontal="right" vertical="center" wrapText="1"/>
    </xf>
    <xf numFmtId="14" fontId="287" fillId="0" borderId="1" xfId="10" applyNumberFormat="1" applyFont="1" applyBorder="1" applyAlignment="1">
      <alignment horizontal="right" vertical="center"/>
    </xf>
    <xf numFmtId="197" fontId="287" fillId="0" borderId="2" xfId="22" applyFont="1" applyFill="1" applyBorder="1" applyAlignment="1">
      <alignment horizontal="center" vertical="center"/>
    </xf>
    <xf numFmtId="198" fontId="287" fillId="15" borderId="2" xfId="22" applyNumberFormat="1" applyFont="1" applyFill="1" applyBorder="1" applyAlignment="1">
      <alignment horizontal="right" vertical="center" wrapText="1"/>
    </xf>
    <xf numFmtId="197" fontId="287" fillId="19" borderId="1" xfId="22" applyFont="1" applyFill="1" applyBorder="1" applyAlignment="1">
      <alignment horizontal="center" vertical="center"/>
    </xf>
    <xf numFmtId="197" fontId="287" fillId="19" borderId="2" xfId="22" applyFont="1" applyFill="1" applyBorder="1" applyAlignment="1">
      <alignment horizontal="center" vertical="center"/>
    </xf>
    <xf numFmtId="14" fontId="287" fillId="0" borderId="2" xfId="22" applyNumberFormat="1" applyFont="1" applyFill="1" applyBorder="1" applyAlignment="1">
      <alignment horizontal="right" vertical="center"/>
    </xf>
    <xf numFmtId="198" fontId="287" fillId="0" borderId="2" xfId="22" applyNumberFormat="1" applyFont="1" applyFill="1" applyBorder="1" applyAlignment="1">
      <alignment horizontal="right" vertical="center"/>
    </xf>
    <xf numFmtId="197" fontId="287" fillId="0" borderId="1" xfId="22" applyFont="1" applyFill="1" applyBorder="1" applyAlignment="1">
      <alignment horizontal="right" vertical="center"/>
    </xf>
    <xf numFmtId="197" fontId="287" fillId="0" borderId="2" xfId="22" applyFont="1" applyFill="1" applyBorder="1" applyAlignment="1">
      <alignment horizontal="right" vertical="center"/>
    </xf>
    <xf numFmtId="198" fontId="287" fillId="0" borderId="2" xfId="22" applyNumberFormat="1" applyFont="1" applyFill="1" applyBorder="1" applyAlignment="1">
      <alignment horizontal="left" vertical="center"/>
    </xf>
    <xf numFmtId="197" fontId="289" fillId="0" borderId="1" xfId="22" applyFont="1" applyFill="1" applyBorder="1" applyAlignment="1">
      <alignment horizontal="center" vertical="center"/>
    </xf>
    <xf numFmtId="198" fontId="287" fillId="0" borderId="2" xfId="22" applyNumberFormat="1" applyFont="1" applyFill="1" applyBorder="1" applyAlignment="1">
      <alignment vertical="center"/>
    </xf>
    <xf numFmtId="49" fontId="287" fillId="0" borderId="2" xfId="22" applyNumberFormat="1" applyFont="1" applyFill="1" applyBorder="1" applyAlignment="1">
      <alignment horizontal="right" vertical="center"/>
    </xf>
    <xf numFmtId="14" fontId="287" fillId="0" borderId="2" xfId="23" applyNumberFormat="1" applyFont="1" applyBorder="1" applyAlignment="1">
      <alignment horizontal="center" vertical="center"/>
    </xf>
    <xf numFmtId="197" fontId="287" fillId="14" borderId="2" xfId="22" applyFont="1" applyFill="1" applyBorder="1" applyAlignment="1">
      <alignment horizontal="right" vertical="center"/>
    </xf>
    <xf numFmtId="201" fontId="287" fillId="0" borderId="1" xfId="10" applyNumberFormat="1" applyFont="1" applyBorder="1" applyAlignment="1">
      <alignment horizontal="center" vertical="center"/>
    </xf>
    <xf numFmtId="198" fontId="287" fillId="0" borderId="1" xfId="22" applyNumberFormat="1" applyFont="1" applyFill="1" applyBorder="1" applyAlignment="1">
      <alignment horizontal="center" vertical="center"/>
    </xf>
    <xf numFmtId="0" fontId="287" fillId="0" borderId="1" xfId="10" applyFont="1" applyBorder="1" applyAlignment="1">
      <alignment horizontal="center" vertical="center"/>
    </xf>
    <xf numFmtId="198" fontId="287" fillId="5" borderId="2" xfId="22" applyNumberFormat="1" applyFont="1" applyFill="1" applyBorder="1" applyAlignment="1">
      <alignment horizontal="right" vertical="center"/>
    </xf>
    <xf numFmtId="14" fontId="287" fillId="0" borderId="1" xfId="10" applyNumberFormat="1" applyFont="1" applyBorder="1" applyAlignment="1">
      <alignment horizontal="left" vertical="center"/>
    </xf>
    <xf numFmtId="0" fontId="287" fillId="5" borderId="2" xfId="10" applyFont="1" applyFill="1" applyBorder="1" applyAlignment="1">
      <alignment horizontal="center" vertical="center"/>
    </xf>
    <xf numFmtId="0" fontId="287" fillId="5" borderId="1" xfId="10" applyFont="1" applyFill="1" applyBorder="1" applyAlignment="1">
      <alignment horizontal="center" vertical="center" wrapText="1"/>
    </xf>
    <xf numFmtId="201" fontId="287" fillId="5" borderId="1" xfId="10" applyNumberFormat="1" applyFont="1" applyFill="1" applyBorder="1">
      <alignment vertical="center"/>
    </xf>
    <xf numFmtId="14" fontId="288" fillId="5" borderId="2" xfId="23" applyNumberFormat="1" applyFont="1" applyFill="1" applyBorder="1" applyAlignment="1">
      <alignment horizontal="center" vertical="center"/>
    </xf>
    <xf numFmtId="201" fontId="287" fillId="5" borderId="1" xfId="10" applyNumberFormat="1" applyFont="1" applyFill="1" applyBorder="1" applyAlignment="1">
      <alignment horizontal="center" vertical="center"/>
    </xf>
    <xf numFmtId="198" fontId="287" fillId="5" borderId="2" xfId="22" applyNumberFormat="1" applyFont="1" applyFill="1" applyBorder="1" applyAlignment="1">
      <alignment horizontal="right" vertical="center" wrapText="1"/>
    </xf>
    <xf numFmtId="197" fontId="287" fillId="7" borderId="0" xfId="22" applyFont="1" applyFill="1" applyBorder="1" applyAlignment="1">
      <alignment horizontal="right"/>
    </xf>
    <xf numFmtId="198" fontId="287" fillId="0" borderId="13" xfId="22" applyNumberFormat="1" applyFont="1" applyFill="1" applyBorder="1" applyAlignment="1">
      <alignment vertical="center"/>
    </xf>
    <xf numFmtId="197" fontId="287" fillId="7" borderId="2" xfId="22" applyFont="1" applyFill="1" applyBorder="1" applyAlignment="1">
      <alignment horizontal="right" vertical="center"/>
    </xf>
    <xf numFmtId="43" fontId="290" fillId="0" borderId="1" xfId="10" applyNumberFormat="1" applyFont="1" applyBorder="1">
      <alignment vertical="center"/>
    </xf>
    <xf numFmtId="49" fontId="287" fillId="0" borderId="1" xfId="10" applyNumberFormat="1" applyFont="1" applyBorder="1" applyAlignment="1">
      <alignment horizontal="center" vertical="center" wrapText="1"/>
    </xf>
    <xf numFmtId="197" fontId="287" fillId="7" borderId="1" xfId="22" applyFont="1" applyFill="1" applyBorder="1" applyAlignment="1">
      <alignment horizontal="right" vertical="center"/>
    </xf>
    <xf numFmtId="197" fontId="287" fillId="0" borderId="2" xfId="22" applyFont="1" applyFill="1" applyBorder="1" applyAlignment="1">
      <alignment horizontal="left" vertical="center"/>
    </xf>
    <xf numFmtId="14" fontId="287" fillId="0" borderId="2" xfId="22" applyNumberFormat="1" applyFont="1" applyFill="1" applyBorder="1" applyAlignment="1">
      <alignment horizontal="right" vertical="center" wrapText="1"/>
    </xf>
    <xf numFmtId="197" fontId="289" fillId="0" borderId="2" xfId="22" applyFont="1" applyFill="1" applyBorder="1" applyAlignment="1">
      <alignment horizontal="center" vertical="center"/>
    </xf>
    <xf numFmtId="197" fontId="287" fillId="0" borderId="1" xfId="22" applyFont="1" applyFill="1" applyBorder="1" applyAlignment="1">
      <alignment horizontal="center" vertical="center"/>
    </xf>
    <xf numFmtId="198" fontId="287" fillId="5" borderId="2" xfId="22" applyNumberFormat="1" applyFont="1" applyFill="1" applyBorder="1" applyAlignment="1">
      <alignment horizontal="left" vertical="center"/>
    </xf>
    <xf numFmtId="176" fontId="287" fillId="15" borderId="1" xfId="10" applyNumberFormat="1" applyFont="1" applyFill="1" applyBorder="1" applyAlignment="1">
      <alignment horizontal="right" vertical="center"/>
    </xf>
    <xf numFmtId="49" fontId="287" fillId="0" borderId="13" xfId="10" applyNumberFormat="1" applyFont="1" applyBorder="1" applyAlignment="1">
      <alignment horizontal="center" vertical="center" wrapText="1"/>
    </xf>
    <xf numFmtId="201" fontId="287" fillId="0" borderId="5" xfId="10" applyNumberFormat="1" applyFont="1" applyBorder="1">
      <alignment vertical="center"/>
    </xf>
    <xf numFmtId="14" fontId="286" fillId="0" borderId="5" xfId="24" applyNumberFormat="1" applyFont="1" applyBorder="1" applyAlignment="1">
      <alignment horizontal="center" vertical="center"/>
    </xf>
    <xf numFmtId="49" fontId="291" fillId="0" borderId="13" xfId="24" applyNumberFormat="1" applyFont="1" applyBorder="1" applyAlignment="1">
      <alignment horizontal="left" vertical="center"/>
    </xf>
    <xf numFmtId="197" fontId="291" fillId="0" borderId="2" xfId="22" applyFont="1" applyFill="1" applyBorder="1" applyAlignment="1">
      <alignment horizontal="center" vertical="center" wrapText="1"/>
    </xf>
    <xf numFmtId="0" fontId="288" fillId="6" borderId="1" xfId="10" applyFont="1" applyFill="1" applyBorder="1">
      <alignment vertical="center"/>
    </xf>
    <xf numFmtId="0" fontId="288" fillId="6" borderId="54" xfId="10" applyFont="1" applyFill="1" applyBorder="1" applyAlignment="1">
      <alignment horizontal="center" vertical="center"/>
    </xf>
    <xf numFmtId="0" fontId="288" fillId="6" borderId="3" xfId="10" applyFont="1" applyFill="1" applyBorder="1" applyAlignment="1">
      <alignment horizontal="center" vertical="center"/>
    </xf>
    <xf numFmtId="198" fontId="288" fillId="6" borderId="1" xfId="22" applyNumberFormat="1" applyFont="1" applyFill="1" applyBorder="1" applyAlignment="1">
      <alignment horizontal="right" vertical="center"/>
    </xf>
    <xf numFmtId="198" fontId="288" fillId="6" borderId="1" xfId="22" applyNumberFormat="1" applyFont="1" applyFill="1" applyBorder="1" applyAlignment="1">
      <alignment horizontal="left" vertical="center"/>
    </xf>
    <xf numFmtId="197" fontId="288" fillId="6" borderId="1" xfId="22" applyFont="1" applyFill="1" applyBorder="1" applyAlignment="1">
      <alignment horizontal="right" vertical="center"/>
    </xf>
    <xf numFmtId="49" fontId="284" fillId="0" borderId="0" xfId="10" applyNumberFormat="1" applyFont="1" applyAlignment="1">
      <alignment horizontal="center" vertical="center"/>
    </xf>
    <xf numFmtId="0" fontId="284" fillId="0" borderId="0" xfId="10" applyFont="1" applyAlignment="1">
      <alignment horizontal="left" vertical="center"/>
    </xf>
    <xf numFmtId="14" fontId="284" fillId="0" borderId="0" xfId="10" applyNumberFormat="1" applyFont="1">
      <alignment vertical="center"/>
    </xf>
    <xf numFmtId="49" fontId="289" fillId="0" borderId="1" xfId="10" applyNumberFormat="1" applyFont="1" applyBorder="1" applyAlignment="1">
      <alignment horizontal="center" vertical="center"/>
    </xf>
    <xf numFmtId="197" fontId="289" fillId="0" borderId="1" xfId="22" applyFont="1" applyBorder="1">
      <alignment vertical="center"/>
    </xf>
    <xf numFmtId="197" fontId="292" fillId="0" borderId="0" xfId="22" applyFont="1">
      <alignment vertical="center"/>
    </xf>
    <xf numFmtId="197" fontId="284" fillId="0" borderId="0" xfId="22" applyFont="1">
      <alignment vertical="center"/>
    </xf>
    <xf numFmtId="198" fontId="284" fillId="0" borderId="0" xfId="10" applyNumberFormat="1" applyFont="1">
      <alignment vertical="center"/>
    </xf>
    <xf numFmtId="9" fontId="289" fillId="0" borderId="1" xfId="25" applyFont="1" applyBorder="1">
      <alignment vertical="center"/>
    </xf>
    <xf numFmtId="197" fontId="284" fillId="0" borderId="0" xfId="25" applyNumberFormat="1" applyFont="1">
      <alignment vertical="center"/>
    </xf>
    <xf numFmtId="197" fontId="289" fillId="0" borderId="1" xfId="10" applyNumberFormat="1" applyFont="1" applyBorder="1">
      <alignment vertical="center"/>
    </xf>
    <xf numFmtId="0" fontId="289" fillId="0" borderId="0" xfId="10" applyFont="1">
      <alignment vertical="center"/>
    </xf>
    <xf numFmtId="49" fontId="289" fillId="0" borderId="0" xfId="10" applyNumberFormat="1" applyFont="1" applyAlignment="1">
      <alignment horizontal="center" vertical="center"/>
    </xf>
    <xf numFmtId="197" fontId="289" fillId="0" borderId="0" xfId="22" applyFont="1">
      <alignment vertical="center"/>
    </xf>
    <xf numFmtId="197" fontId="284" fillId="0" borderId="0" xfId="10" applyNumberFormat="1" applyFont="1">
      <alignment vertical="center"/>
    </xf>
    <xf numFmtId="49" fontId="96" fillId="0" borderId="0" xfId="0" applyNumberFormat="1" applyFont="1">
      <alignment vertical="center"/>
    </xf>
    <xf numFmtId="191" fontId="96" fillId="0" borderId="0" xfId="0" applyNumberFormat="1" applyFont="1">
      <alignment vertical="center"/>
    </xf>
    <xf numFmtId="14" fontId="0" fillId="5" borderId="0" xfId="0" applyNumberFormat="1" applyFill="1">
      <alignment vertical="center"/>
    </xf>
    <xf numFmtId="0" fontId="273" fillId="5" borderId="0" xfId="0" applyFont="1" applyFill="1">
      <alignment vertical="center"/>
    </xf>
    <xf numFmtId="0" fontId="0" fillId="5" borderId="0" xfId="0" applyFill="1">
      <alignment vertical="center"/>
    </xf>
    <xf numFmtId="10" fontId="48" fillId="12" borderId="0" xfId="0" applyNumberFormat="1" applyFont="1" applyFill="1" applyAlignment="1" applyProtection="1">
      <alignment vertical="center"/>
      <protection locked="0"/>
    </xf>
    <xf numFmtId="0" fontId="95"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29" fillId="0" borderId="46" xfId="0" applyFont="1" applyFill="1" applyBorder="1" applyAlignment="1" applyProtection="1">
      <alignment horizontal="center" vertical="center" wrapText="1"/>
      <protection locked="0"/>
    </xf>
    <xf numFmtId="10" fontId="52" fillId="0" borderId="37" xfId="0" applyNumberFormat="1" applyFont="1" applyFill="1" applyBorder="1" applyAlignment="1" applyProtection="1">
      <alignment horizontal="center" vertical="center" wrapText="1"/>
      <protection locked="0"/>
    </xf>
    <xf numFmtId="10" fontId="45" fillId="0" borderId="37" xfId="0" applyNumberFormat="1" applyFont="1" applyFill="1" applyBorder="1" applyAlignment="1" applyProtection="1">
      <alignment horizontal="center" vertical="center" wrapText="1"/>
      <protection locked="0"/>
    </xf>
    <xf numFmtId="0" fontId="223" fillId="0" borderId="8"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NumberFormat="1" applyFont="1" applyFill="1" applyBorder="1" applyAlignment="1" applyProtection="1">
      <alignment vertical="center" wrapText="1"/>
      <protection locked="0"/>
    </xf>
    <xf numFmtId="49" fontId="298" fillId="0" borderId="40" xfId="0" applyNumberFormat="1" applyFont="1" applyFill="1" applyBorder="1" applyAlignment="1" applyProtection="1">
      <alignment horizontal="center" vertical="center" wrapText="1"/>
      <protection locked="0"/>
    </xf>
    <xf numFmtId="49" fontId="298" fillId="0" borderId="35"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22" xfId="0" applyNumberFormat="1" applyFont="1" applyFill="1" applyBorder="1" applyAlignment="1" applyProtection="1">
      <alignment horizontal="center" vertical="center" wrapText="1"/>
      <protection locked="0"/>
    </xf>
    <xf numFmtId="0" fontId="299" fillId="0" borderId="0" xfId="0" applyFont="1" applyAlignment="1">
      <alignment vertical="center" wrapText="1"/>
    </xf>
    <xf numFmtId="0" fontId="301" fillId="0" borderId="0" xfId="0" applyFont="1" applyAlignment="1">
      <alignment vertical="center" wrapText="1"/>
    </xf>
    <xf numFmtId="0" fontId="302" fillId="0" borderId="0" xfId="0" applyFont="1" applyAlignment="1">
      <alignment vertical="center" wrapText="1"/>
    </xf>
    <xf numFmtId="0" fontId="304" fillId="5" borderId="0" xfId="0" applyFont="1" applyFill="1" applyAlignment="1">
      <alignment vertical="center" wrapText="1"/>
    </xf>
    <xf numFmtId="0" fontId="45" fillId="9" borderId="5" xfId="0" applyFont="1" applyFill="1" applyBorder="1" applyAlignment="1" applyProtection="1">
      <alignment horizontal="center" vertical="center" wrapText="1"/>
    </xf>
    <xf numFmtId="0" fontId="52" fillId="9" borderId="24" xfId="0" applyNumberFormat="1" applyFont="1" applyFill="1" applyBorder="1" applyAlignment="1" applyProtection="1">
      <alignment horizontal="center" vertical="center" wrapText="1"/>
    </xf>
    <xf numFmtId="9" fontId="45" fillId="9" borderId="37" xfId="0" applyNumberFormat="1" applyFont="1" applyFill="1" applyBorder="1" applyAlignment="1" applyProtection="1">
      <alignment horizontal="center" vertical="center" wrapText="1"/>
      <protection locked="0"/>
    </xf>
    <xf numFmtId="0" fontId="52" fillId="9" borderId="5" xfId="0" applyNumberFormat="1" applyFont="1" applyFill="1" applyBorder="1" applyAlignment="1" applyProtection="1">
      <alignment horizontal="center" vertical="center" wrapText="1"/>
    </xf>
    <xf numFmtId="49" fontId="52" fillId="9" borderId="35" xfId="0" applyNumberFormat="1" applyFont="1" applyFill="1" applyBorder="1" applyAlignment="1" applyProtection="1">
      <alignment horizontal="center" vertical="center" wrapText="1"/>
      <protection locked="0"/>
    </xf>
    <xf numFmtId="0" fontId="52" fillId="9" borderId="41" xfId="0" applyNumberFormat="1" applyFont="1" applyFill="1" applyBorder="1" applyAlignment="1" applyProtection="1">
      <alignment horizontal="center" vertical="center" wrapText="1"/>
      <protection locked="0"/>
    </xf>
    <xf numFmtId="0" fontId="129" fillId="9" borderId="41" xfId="0" applyNumberFormat="1" applyFont="1" applyFill="1" applyBorder="1" applyAlignment="1" applyProtection="1">
      <alignment horizontal="center" vertical="center" wrapText="1"/>
      <protection locked="0"/>
    </xf>
    <xf numFmtId="0" fontId="45" fillId="9" borderId="71" xfId="0" applyNumberFormat="1" applyFont="1" applyFill="1" applyBorder="1" applyAlignment="1" applyProtection="1">
      <alignment horizontal="center" vertical="center" wrapText="1"/>
    </xf>
    <xf numFmtId="0" fontId="95" fillId="9" borderId="37" xfId="0" applyNumberFormat="1" applyFont="1" applyFill="1" applyBorder="1" applyAlignment="1" applyProtection="1">
      <alignment horizontal="center" vertical="center" wrapText="1"/>
      <protection locked="0"/>
    </xf>
    <xf numFmtId="0" fontId="45" fillId="9" borderId="24" xfId="0" applyNumberFormat="1" applyFont="1" applyFill="1" applyBorder="1" applyAlignment="1" applyProtection="1">
      <alignment horizontal="center" vertical="center" wrapText="1"/>
    </xf>
    <xf numFmtId="10" fontId="45" fillId="9" borderId="37" xfId="0" applyNumberFormat="1" applyFont="1" applyFill="1" applyBorder="1" applyAlignment="1" applyProtection="1">
      <alignment horizontal="center" vertical="center" wrapText="1"/>
      <protection locked="0"/>
    </xf>
    <xf numFmtId="202" fontId="52" fillId="6" borderId="0" xfId="0" applyNumberFormat="1" applyFont="1" applyFill="1" applyBorder="1" applyAlignment="1" applyProtection="1">
      <alignment horizontal="center" vertical="center"/>
      <protection locked="0"/>
    </xf>
    <xf numFmtId="0" fontId="305" fillId="0" borderId="0" xfId="26">
      <alignment vertical="center"/>
    </xf>
    <xf numFmtId="0" fontId="129" fillId="0" borderId="5" xfId="0"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protection locked="0"/>
    </xf>
    <xf numFmtId="202" fontId="53" fillId="6" borderId="1" xfId="0" applyNumberFormat="1" applyFont="1" applyFill="1" applyBorder="1" applyAlignment="1" applyProtection="1">
      <alignment horizontal="center" vertical="center"/>
    </xf>
    <xf numFmtId="0" fontId="306" fillId="0" borderId="0" xfId="0" applyFont="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209" fillId="0" borderId="3"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209" fillId="9" borderId="23" xfId="0" applyFont="1" applyFill="1" applyBorder="1" applyAlignment="1" applyProtection="1">
      <alignment horizontal="center" vertical="center" wrapText="1"/>
      <protection locked="0"/>
    </xf>
    <xf numFmtId="0" fontId="167" fillId="9" borderId="24" xfId="0"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75" fillId="0" borderId="177" xfId="19" applyFont="1" applyBorder="1" applyAlignment="1">
      <alignment horizontal="center" vertical="center" wrapText="1"/>
    </xf>
    <xf numFmtId="0" fontId="275" fillId="0" borderId="179" xfId="19" applyFont="1" applyBorder="1" applyAlignment="1">
      <alignment horizontal="center" vertical="center" wrapText="1"/>
    </xf>
    <xf numFmtId="0" fontId="275" fillId="0" borderId="177" xfId="19" applyFont="1" applyBorder="1" applyAlignment="1">
      <alignment horizontal="center" vertical="center"/>
    </xf>
    <xf numFmtId="0" fontId="275" fillId="0" borderId="179" xfId="19" applyFont="1" applyBorder="1" applyAlignment="1">
      <alignment horizontal="center" vertical="center"/>
    </xf>
    <xf numFmtId="43" fontId="275" fillId="0" borderId="177" xfId="20" applyFont="1" applyFill="1" applyBorder="1" applyAlignment="1">
      <alignment horizontal="center" vertical="center"/>
    </xf>
    <xf numFmtId="43" fontId="275" fillId="0" borderId="179" xfId="20" applyFont="1" applyFill="1" applyBorder="1" applyAlignment="1">
      <alignment horizontal="center" vertical="center"/>
    </xf>
    <xf numFmtId="0" fontId="288" fillId="6" borderId="5" xfId="10" applyFont="1" applyFill="1" applyBorder="1" applyAlignment="1">
      <alignment horizontal="center" vertical="center"/>
    </xf>
    <xf numFmtId="0" fontId="288" fillId="6" borderId="3" xfId="10" applyFont="1" applyFill="1" applyBorder="1" applyAlignment="1">
      <alignment horizontal="center" vertical="center"/>
    </xf>
    <xf numFmtId="0" fontId="289" fillId="0" borderId="1" xfId="10" applyFont="1" applyBorder="1" applyAlignment="1">
      <alignment horizontal="center" vertical="center"/>
    </xf>
    <xf numFmtId="199" fontId="286" fillId="14" borderId="20" xfId="22" applyNumberFormat="1" applyFont="1" applyFill="1" applyBorder="1" applyAlignment="1">
      <alignment horizontal="center" vertical="center" wrapText="1"/>
    </xf>
    <xf numFmtId="199" fontId="286" fillId="14" borderId="21" xfId="22" applyNumberFormat="1" applyFont="1" applyFill="1" applyBorder="1" applyAlignment="1">
      <alignment horizontal="center" vertical="center" wrapText="1"/>
    </xf>
    <xf numFmtId="0" fontId="286" fillId="22" borderId="1" xfId="10" applyFont="1" applyFill="1" applyBorder="1" applyAlignment="1">
      <alignment horizontal="center" vertical="center"/>
    </xf>
    <xf numFmtId="0" fontId="286" fillId="22" borderId="32" xfId="10" applyFont="1" applyFill="1" applyBorder="1" applyAlignment="1">
      <alignment horizontal="center" vertical="center"/>
    </xf>
    <xf numFmtId="0" fontId="286" fillId="22" borderId="13" xfId="10" applyFont="1" applyFill="1" applyBorder="1" applyAlignment="1">
      <alignment horizontal="center" vertical="center"/>
    </xf>
    <xf numFmtId="0" fontId="286" fillId="22" borderId="74" xfId="10" applyFont="1" applyFill="1" applyBorder="1" applyAlignment="1">
      <alignment horizontal="center" vertical="center"/>
    </xf>
    <xf numFmtId="198" fontId="286" fillId="22" borderId="1" xfId="22" applyNumberFormat="1" applyFont="1" applyFill="1" applyBorder="1" applyAlignment="1">
      <alignment horizontal="center" vertical="center" wrapText="1"/>
    </xf>
    <xf numFmtId="198" fontId="286" fillId="22" borderId="32" xfId="22" applyNumberFormat="1" applyFont="1" applyFill="1" applyBorder="1" applyAlignment="1">
      <alignment horizontal="center" vertical="center" wrapText="1"/>
    </xf>
    <xf numFmtId="199" fontId="286" fillId="14" borderId="51" xfId="22" applyNumberFormat="1" applyFont="1" applyFill="1" applyBorder="1" applyAlignment="1">
      <alignment horizontal="center" vertical="center" wrapText="1"/>
    </xf>
    <xf numFmtId="0" fontId="286" fillId="22" borderId="1" xfId="10" applyFont="1" applyFill="1" applyBorder="1" applyAlignment="1">
      <alignment horizontal="center" vertical="center" wrapText="1"/>
    </xf>
    <xf numFmtId="0" fontId="286" fillId="22" borderId="32" xfId="10" applyFont="1" applyFill="1" applyBorder="1" applyAlignment="1">
      <alignment horizontal="center" vertical="center" wrapText="1"/>
    </xf>
    <xf numFmtId="0" fontId="286" fillId="22" borderId="1" xfId="10" applyFont="1" applyFill="1" applyBorder="1" applyAlignment="1">
      <alignment horizontal="left" vertical="center" wrapText="1"/>
    </xf>
    <xf numFmtId="0" fontId="286" fillId="22" borderId="32" xfId="10" applyFont="1" applyFill="1" applyBorder="1" applyAlignment="1">
      <alignment horizontal="left" vertical="center" wrapText="1"/>
    </xf>
    <xf numFmtId="198" fontId="286" fillId="22" borderId="13" xfId="22" applyNumberFormat="1" applyFont="1" applyFill="1" applyBorder="1" applyAlignment="1">
      <alignment horizontal="center" vertical="center" wrapText="1"/>
    </xf>
    <xf numFmtId="198" fontId="286" fillId="22" borderId="74" xfId="22" applyNumberFormat="1" applyFont="1" applyFill="1" applyBorder="1" applyAlignment="1">
      <alignment horizontal="center" vertical="center" wrapText="1"/>
    </xf>
    <xf numFmtId="198" fontId="286" fillId="22" borderId="46" xfId="22" applyNumberFormat="1" applyFont="1" applyFill="1" applyBorder="1" applyAlignment="1">
      <alignment horizontal="center" vertical="center" wrapText="1"/>
    </xf>
    <xf numFmtId="198" fontId="286" fillId="22" borderId="36" xfId="22" applyNumberFormat="1" applyFont="1" applyFill="1" applyBorder="1" applyAlignment="1">
      <alignment horizontal="center" vertical="center" wrapText="1"/>
    </xf>
    <xf numFmtId="198" fontId="286" fillId="22" borderId="22" xfId="22" applyNumberFormat="1" applyFont="1" applyFill="1" applyBorder="1" applyAlignment="1">
      <alignment horizontal="center" vertical="center" wrapText="1"/>
    </xf>
    <xf numFmtId="198" fontId="287" fillId="0" borderId="13" xfId="22" applyNumberFormat="1" applyFont="1" applyFill="1" applyBorder="1" applyAlignment="1">
      <alignment horizontal="center" vertical="center"/>
    </xf>
    <xf numFmtId="198" fontId="287" fillId="0" borderId="2" xfId="22" applyNumberFormat="1" applyFont="1" applyFill="1" applyBorder="1" applyAlignment="1">
      <alignment horizontal="center" vertical="center"/>
    </xf>
    <xf numFmtId="199" fontId="286" fillId="14" borderId="21" xfId="22" applyNumberFormat="1" applyFont="1" applyFill="1" applyBorder="1" applyAlignment="1">
      <alignment horizontal="left" vertical="center" wrapText="1"/>
    </xf>
    <xf numFmtId="0" fontId="282" fillId="22" borderId="69" xfId="10" applyFont="1" applyFill="1" applyBorder="1" applyAlignment="1">
      <alignment horizontal="center" vertical="center"/>
    </xf>
    <xf numFmtId="0" fontId="282" fillId="22" borderId="60" xfId="10" applyFont="1" applyFill="1" applyBorder="1" applyAlignment="1">
      <alignment horizontal="center" vertical="center"/>
    </xf>
    <xf numFmtId="0" fontId="285" fillId="22" borderId="37" xfId="10" applyFont="1" applyFill="1" applyBorder="1" applyAlignment="1">
      <alignment horizontal="center" vertical="center"/>
    </xf>
    <xf numFmtId="0" fontId="285" fillId="22" borderId="54" xfId="10" applyFont="1" applyFill="1" applyBorder="1" applyAlignment="1">
      <alignment horizontal="center" vertical="center"/>
    </xf>
    <xf numFmtId="0" fontId="285" fillId="22" borderId="3" xfId="10" applyFont="1" applyFill="1" applyBorder="1" applyAlignment="1">
      <alignment horizontal="center" vertical="center"/>
    </xf>
    <xf numFmtId="0" fontId="285" fillId="22" borderId="46" xfId="10" applyFont="1" applyFill="1" applyBorder="1" applyAlignment="1">
      <alignment horizontal="center" vertical="center" wrapText="1"/>
    </xf>
    <xf numFmtId="0" fontId="285" fillId="22" borderId="4" xfId="10" applyFont="1" applyFill="1" applyBorder="1" applyAlignment="1">
      <alignment horizontal="center" vertical="center" wrapText="1"/>
    </xf>
    <xf numFmtId="0" fontId="286" fillId="22" borderId="13" xfId="10" applyFont="1" applyFill="1" applyBorder="1" applyAlignment="1">
      <alignment horizontal="center" vertical="center" wrapText="1"/>
    </xf>
    <xf numFmtId="0" fontId="286" fillId="22" borderId="74" xfId="10" applyFont="1" applyFill="1" applyBorder="1" applyAlignment="1">
      <alignment horizontal="center" vertical="center" wrapText="1"/>
    </xf>
    <xf numFmtId="0" fontId="285" fillId="14" borderId="51" xfId="10" applyFont="1" applyFill="1" applyBorder="1" applyAlignment="1">
      <alignment horizontal="center" vertical="center"/>
    </xf>
    <xf numFmtId="0" fontId="285" fillId="14" borderId="20" xfId="10" applyFont="1" applyFill="1" applyBorder="1" applyAlignment="1">
      <alignment horizontal="center" vertical="center"/>
    </xf>
    <xf numFmtId="0" fontId="285" fillId="14" borderId="20" xfId="10" applyFont="1" applyFill="1" applyBorder="1" applyAlignment="1">
      <alignment horizontal="left" vertical="center"/>
    </xf>
    <xf numFmtId="0" fontId="285" fillId="14" borderId="19" xfId="10" applyFont="1" applyFill="1" applyBorder="1" applyAlignment="1">
      <alignment horizontal="center" vertical="center"/>
    </xf>
    <xf numFmtId="0" fontId="286" fillId="22" borderId="23" xfId="10" applyFont="1" applyFill="1" applyBorder="1" applyAlignment="1">
      <alignment horizontal="center" vertical="center"/>
    </xf>
    <xf numFmtId="0" fontId="286" fillId="22" borderId="25" xfId="10" applyFont="1" applyFill="1" applyBorder="1" applyAlignment="1">
      <alignment horizontal="center" vertical="center"/>
    </xf>
    <xf numFmtId="49" fontId="286" fillId="22" borderId="13" xfId="10" applyNumberFormat="1" applyFont="1" applyFill="1" applyBorder="1" applyAlignment="1">
      <alignment horizontal="center" vertical="center" wrapText="1"/>
    </xf>
    <xf numFmtId="49" fontId="286" fillId="22" borderId="74" xfId="10" applyNumberFormat="1" applyFont="1" applyFill="1" applyBorder="1" applyAlignment="1">
      <alignment horizontal="center" vertical="center" wrapText="1"/>
    </xf>
    <xf numFmtId="197" fontId="286" fillId="14" borderId="22" xfId="22" applyFont="1" applyFill="1" applyBorder="1" applyAlignment="1">
      <alignment horizontal="center" vertical="center" wrapText="1"/>
    </xf>
    <xf numFmtId="197" fontId="286" fillId="14" borderId="73" xfId="22" applyFont="1" applyFill="1" applyBorder="1" applyAlignment="1">
      <alignment horizontal="center" vertical="center" wrapText="1"/>
    </xf>
    <xf numFmtId="176" fontId="277" fillId="0" borderId="13" xfId="21" applyNumberFormat="1" applyFont="1" applyBorder="1" applyAlignment="1">
      <alignment horizontal="center" vertical="center" wrapText="1"/>
    </xf>
    <xf numFmtId="176" fontId="277" fillId="0" borderId="15" xfId="21" applyNumberFormat="1" applyFont="1" applyBorder="1" applyAlignment="1">
      <alignment horizontal="center" vertical="center" wrapText="1"/>
    </xf>
    <xf numFmtId="176" fontId="277" fillId="0" borderId="2" xfId="21" applyNumberFormat="1" applyFont="1" applyBorder="1" applyAlignment="1">
      <alignment horizontal="center" vertical="center" wrapText="1"/>
    </xf>
    <xf numFmtId="176" fontId="277" fillId="0" borderId="1" xfId="21" applyNumberFormat="1" applyFont="1" applyBorder="1" applyAlignment="1">
      <alignment horizontal="center" vertical="center" wrapText="1"/>
    </xf>
    <xf numFmtId="0" fontId="276" fillId="0" borderId="60" xfId="21" applyFont="1" applyBorder="1" applyAlignment="1">
      <alignment horizontal="center" vertical="center" wrapText="1"/>
    </xf>
  </cellXfs>
  <cellStyles count="27">
    <cellStyle name="百分比" xfId="17" builtinId="5"/>
    <cellStyle name="百分比 2" xfId="14" xr:uid="{00000000-0005-0000-0000-000001000000}"/>
    <cellStyle name="百分比 3" xfId="25" xr:uid="{00000000-0005-0000-0000-000002000000}"/>
    <cellStyle name="常规" xfId="0" builtinId="0"/>
    <cellStyle name="常规 10" xfId="19" xr:uid="{00000000-0005-0000-0000-00000400000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xfId="21" xr:uid="{00000000-0005-0000-0000-000009000000}"/>
    <cellStyle name="常规 2 2 2 2 3" xfId="15" xr:uid="{00000000-0005-0000-0000-00000A000000}"/>
    <cellStyle name="常规 2 3" xfId="24" xr:uid="{00000000-0005-0000-0000-00000B000000}"/>
    <cellStyle name="常规 3" xfId="2" xr:uid="{00000000-0005-0000-0000-00000C000000}"/>
    <cellStyle name="常规 3 2" xfId="3" xr:uid="{00000000-0005-0000-0000-00000D000000}"/>
    <cellStyle name="常规 4" xfId="4" xr:uid="{00000000-0005-0000-0000-00000E000000}"/>
    <cellStyle name="常规 4 2" xfId="23" xr:uid="{00000000-0005-0000-0000-00000F000000}"/>
    <cellStyle name="常规 5" xfId="5" xr:uid="{00000000-0005-0000-0000-000010000000}"/>
    <cellStyle name="常规 6" xfId="6" xr:uid="{00000000-0005-0000-0000-000011000000}"/>
    <cellStyle name="常规 6 2" xfId="9" xr:uid="{00000000-0005-0000-0000-000012000000}"/>
    <cellStyle name="常规 6 2 2" xfId="16" xr:uid="{00000000-0005-0000-0000-000013000000}"/>
    <cellStyle name="常规 6 2 3" xfId="13" xr:uid="{00000000-0005-0000-0000-000014000000}"/>
    <cellStyle name="常规 7" xfId="7" xr:uid="{00000000-0005-0000-0000-000015000000}"/>
    <cellStyle name="常规 8" xfId="11" xr:uid="{00000000-0005-0000-0000-000016000000}"/>
    <cellStyle name="常规 9" xfId="12" xr:uid="{00000000-0005-0000-0000-000017000000}"/>
    <cellStyle name="超链接" xfId="26" builtinId="8"/>
    <cellStyle name="千位分隔 2" xfId="20" xr:uid="{00000000-0005-0000-0000-000019000000}"/>
    <cellStyle name="千位分隔 3" xfId="22" xr:uid="{00000000-0005-0000-0000-00001A000000}"/>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9"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310906</xdr:colOff>
      <xdr:row>17</xdr:row>
      <xdr:rowOff>133350</xdr:rowOff>
    </xdr:to>
    <xdr:pic>
      <xdr:nvPicPr>
        <xdr:cNvPr id="2" name="图片 1">
          <a:extLst>
            <a:ext uri="{FF2B5EF4-FFF2-40B4-BE49-F238E27FC236}">
              <a16:creationId xmlns:a16="http://schemas.microsoft.com/office/drawing/2014/main" id="{2BD9BC0E-1820-4595-872E-441D7CF4E326}"/>
            </a:ext>
          </a:extLst>
        </xdr:cNvPr>
        <xdr:cNvPicPr>
          <a:picLocks noChangeAspect="1"/>
        </xdr:cNvPicPr>
      </xdr:nvPicPr>
      <xdr:blipFill>
        <a:blip xmlns:r="http://schemas.openxmlformats.org/officeDocument/2006/relationships" r:embed="rId1"/>
        <a:stretch>
          <a:fillRect/>
        </a:stretch>
      </xdr:blipFill>
      <xdr:spPr>
        <a:xfrm>
          <a:off x="0" y="0"/>
          <a:ext cx="7854706" cy="3048000"/>
        </a:xfrm>
        <a:prstGeom prst="rect">
          <a:avLst/>
        </a:prstGeom>
      </xdr:spPr>
    </xdr:pic>
    <xdr:clientData/>
  </xdr:twoCellAnchor>
  <xdr:twoCellAnchor editAs="oneCell">
    <xdr:from>
      <xdr:col>0</xdr:col>
      <xdr:colOff>0</xdr:colOff>
      <xdr:row>18</xdr:row>
      <xdr:rowOff>123825</xdr:rowOff>
    </xdr:from>
    <xdr:to>
      <xdr:col>11</xdr:col>
      <xdr:colOff>341914</xdr:colOff>
      <xdr:row>27</xdr:row>
      <xdr:rowOff>47442</xdr:rowOff>
    </xdr:to>
    <xdr:pic>
      <xdr:nvPicPr>
        <xdr:cNvPr id="3" name="图片 2">
          <a:extLst>
            <a:ext uri="{FF2B5EF4-FFF2-40B4-BE49-F238E27FC236}">
              <a16:creationId xmlns:a16="http://schemas.microsoft.com/office/drawing/2014/main" id="{6834F828-4798-4DE0-AECA-D2B432B9693C}"/>
            </a:ext>
          </a:extLst>
        </xdr:cNvPr>
        <xdr:cNvPicPr>
          <a:picLocks noChangeAspect="1"/>
        </xdr:cNvPicPr>
      </xdr:nvPicPr>
      <xdr:blipFill>
        <a:blip xmlns:r="http://schemas.openxmlformats.org/officeDocument/2006/relationships" r:embed="rId2"/>
        <a:stretch>
          <a:fillRect/>
        </a:stretch>
      </xdr:blipFill>
      <xdr:spPr>
        <a:xfrm>
          <a:off x="0" y="3209925"/>
          <a:ext cx="7885714" cy="1466667"/>
        </a:xfrm>
        <a:prstGeom prst="rect">
          <a:avLst/>
        </a:prstGeom>
      </xdr:spPr>
    </xdr:pic>
    <xdr:clientData/>
  </xdr:twoCellAnchor>
  <xdr:twoCellAnchor editAs="oneCell">
    <xdr:from>
      <xdr:col>0</xdr:col>
      <xdr:colOff>0</xdr:colOff>
      <xdr:row>21</xdr:row>
      <xdr:rowOff>38100</xdr:rowOff>
    </xdr:from>
    <xdr:to>
      <xdr:col>11</xdr:col>
      <xdr:colOff>313343</xdr:colOff>
      <xdr:row>28</xdr:row>
      <xdr:rowOff>37950</xdr:rowOff>
    </xdr:to>
    <xdr:pic>
      <xdr:nvPicPr>
        <xdr:cNvPr id="4" name="图片 3">
          <a:extLst>
            <a:ext uri="{FF2B5EF4-FFF2-40B4-BE49-F238E27FC236}">
              <a16:creationId xmlns:a16="http://schemas.microsoft.com/office/drawing/2014/main" id="{2AB8DA46-800F-4C43-95FF-844C298B883A}"/>
            </a:ext>
          </a:extLst>
        </xdr:cNvPr>
        <xdr:cNvPicPr>
          <a:picLocks noChangeAspect="1"/>
        </xdr:cNvPicPr>
      </xdr:nvPicPr>
      <xdr:blipFill>
        <a:blip xmlns:r="http://schemas.openxmlformats.org/officeDocument/2006/relationships" r:embed="rId3"/>
        <a:stretch>
          <a:fillRect/>
        </a:stretch>
      </xdr:blipFill>
      <xdr:spPr>
        <a:xfrm>
          <a:off x="0" y="3638550"/>
          <a:ext cx="7857143" cy="1200000"/>
        </a:xfrm>
        <a:prstGeom prst="rect">
          <a:avLst/>
        </a:prstGeom>
      </xdr:spPr>
    </xdr:pic>
    <xdr:clientData/>
  </xdr:twoCellAnchor>
  <xdr:twoCellAnchor editAs="oneCell">
    <xdr:from>
      <xdr:col>0</xdr:col>
      <xdr:colOff>47625</xdr:colOff>
      <xdr:row>22</xdr:row>
      <xdr:rowOff>19050</xdr:rowOff>
    </xdr:from>
    <xdr:to>
      <xdr:col>11</xdr:col>
      <xdr:colOff>275904</xdr:colOff>
      <xdr:row>38</xdr:row>
      <xdr:rowOff>85184</xdr:rowOff>
    </xdr:to>
    <xdr:pic>
      <xdr:nvPicPr>
        <xdr:cNvPr id="5" name="图片 4">
          <a:extLst>
            <a:ext uri="{FF2B5EF4-FFF2-40B4-BE49-F238E27FC236}">
              <a16:creationId xmlns:a16="http://schemas.microsoft.com/office/drawing/2014/main" id="{7FC9FD1C-3830-40DA-8667-C778108860A4}"/>
            </a:ext>
          </a:extLst>
        </xdr:cNvPr>
        <xdr:cNvPicPr>
          <a:picLocks noChangeAspect="1"/>
        </xdr:cNvPicPr>
      </xdr:nvPicPr>
      <xdr:blipFill>
        <a:blip xmlns:r="http://schemas.openxmlformats.org/officeDocument/2006/relationships" r:embed="rId4"/>
        <a:stretch>
          <a:fillRect/>
        </a:stretch>
      </xdr:blipFill>
      <xdr:spPr>
        <a:xfrm>
          <a:off x="47625" y="3790950"/>
          <a:ext cx="7772079" cy="2809334"/>
        </a:xfrm>
        <a:prstGeom prst="rect">
          <a:avLst/>
        </a:prstGeom>
      </xdr:spPr>
    </xdr:pic>
    <xdr:clientData/>
  </xdr:twoCellAnchor>
  <xdr:twoCellAnchor editAs="oneCell">
    <xdr:from>
      <xdr:col>0</xdr:col>
      <xdr:colOff>19050</xdr:colOff>
      <xdr:row>41</xdr:row>
      <xdr:rowOff>133350</xdr:rowOff>
    </xdr:from>
    <xdr:to>
      <xdr:col>11</xdr:col>
      <xdr:colOff>275250</xdr:colOff>
      <xdr:row>58</xdr:row>
      <xdr:rowOff>132986</xdr:rowOff>
    </xdr:to>
    <xdr:pic>
      <xdr:nvPicPr>
        <xdr:cNvPr id="6" name="图片 5">
          <a:extLst>
            <a:ext uri="{FF2B5EF4-FFF2-40B4-BE49-F238E27FC236}">
              <a16:creationId xmlns:a16="http://schemas.microsoft.com/office/drawing/2014/main" id="{434931D2-6E85-4DF8-858B-E48C9AE500DC}"/>
            </a:ext>
          </a:extLst>
        </xdr:cNvPr>
        <xdr:cNvPicPr>
          <a:picLocks noChangeAspect="1"/>
        </xdr:cNvPicPr>
      </xdr:nvPicPr>
      <xdr:blipFill>
        <a:blip xmlns:r="http://schemas.openxmlformats.org/officeDocument/2006/relationships" r:embed="rId5"/>
        <a:stretch>
          <a:fillRect/>
        </a:stretch>
      </xdr:blipFill>
      <xdr:spPr>
        <a:xfrm>
          <a:off x="19050" y="7162800"/>
          <a:ext cx="7800000" cy="2914286"/>
        </a:xfrm>
        <a:prstGeom prst="rect">
          <a:avLst/>
        </a:prstGeom>
      </xdr:spPr>
    </xdr:pic>
    <xdr:clientData/>
  </xdr:twoCellAnchor>
  <xdr:twoCellAnchor editAs="oneCell">
    <xdr:from>
      <xdr:col>0</xdr:col>
      <xdr:colOff>0</xdr:colOff>
      <xdr:row>56</xdr:row>
      <xdr:rowOff>101480</xdr:rowOff>
    </xdr:from>
    <xdr:to>
      <xdr:col>7</xdr:col>
      <xdr:colOff>638175</xdr:colOff>
      <xdr:row>72</xdr:row>
      <xdr:rowOff>151635</xdr:rowOff>
    </xdr:to>
    <xdr:pic>
      <xdr:nvPicPr>
        <xdr:cNvPr id="7" name="图片 6">
          <a:extLst>
            <a:ext uri="{FF2B5EF4-FFF2-40B4-BE49-F238E27FC236}">
              <a16:creationId xmlns:a16="http://schemas.microsoft.com/office/drawing/2014/main" id="{BC5BAD27-5529-4CC3-B7E5-6F9D6A9211FD}"/>
            </a:ext>
          </a:extLst>
        </xdr:cNvPr>
        <xdr:cNvPicPr>
          <a:picLocks noChangeAspect="1"/>
        </xdr:cNvPicPr>
      </xdr:nvPicPr>
      <xdr:blipFill>
        <a:blip xmlns:r="http://schemas.openxmlformats.org/officeDocument/2006/relationships" r:embed="rId6"/>
        <a:stretch>
          <a:fillRect/>
        </a:stretch>
      </xdr:blipFill>
      <xdr:spPr>
        <a:xfrm>
          <a:off x="0" y="9702680"/>
          <a:ext cx="5438775" cy="2793355"/>
        </a:xfrm>
        <a:prstGeom prst="rect">
          <a:avLst/>
        </a:prstGeom>
      </xdr:spPr>
    </xdr:pic>
    <xdr:clientData/>
  </xdr:twoCellAnchor>
  <xdr:twoCellAnchor editAs="oneCell">
    <xdr:from>
      <xdr:col>0</xdr:col>
      <xdr:colOff>0</xdr:colOff>
      <xdr:row>64</xdr:row>
      <xdr:rowOff>0</xdr:rowOff>
    </xdr:from>
    <xdr:to>
      <xdr:col>10</xdr:col>
      <xdr:colOff>444248</xdr:colOff>
      <xdr:row>80</xdr:row>
      <xdr:rowOff>8962</xdr:rowOff>
    </xdr:to>
    <xdr:pic>
      <xdr:nvPicPr>
        <xdr:cNvPr id="8" name="图片 7">
          <a:extLst>
            <a:ext uri="{FF2B5EF4-FFF2-40B4-BE49-F238E27FC236}">
              <a16:creationId xmlns:a16="http://schemas.microsoft.com/office/drawing/2014/main" id="{C3A915EB-5345-4B21-BB01-9B5A03473380}"/>
            </a:ext>
          </a:extLst>
        </xdr:cNvPr>
        <xdr:cNvPicPr>
          <a:picLocks noChangeAspect="1"/>
        </xdr:cNvPicPr>
      </xdr:nvPicPr>
      <xdr:blipFill>
        <a:blip xmlns:r="http://schemas.openxmlformats.org/officeDocument/2006/relationships" r:embed="rId7"/>
        <a:stretch>
          <a:fillRect/>
        </a:stretch>
      </xdr:blipFill>
      <xdr:spPr>
        <a:xfrm>
          <a:off x="0" y="10972800"/>
          <a:ext cx="7302248" cy="2752162"/>
        </a:xfrm>
        <a:prstGeom prst="rect">
          <a:avLst/>
        </a:prstGeom>
      </xdr:spPr>
    </xdr:pic>
    <xdr:clientData/>
  </xdr:twoCellAnchor>
  <xdr:twoCellAnchor editAs="oneCell">
    <xdr:from>
      <xdr:col>0</xdr:col>
      <xdr:colOff>0</xdr:colOff>
      <xdr:row>79</xdr:row>
      <xdr:rowOff>133350</xdr:rowOff>
    </xdr:from>
    <xdr:to>
      <xdr:col>10</xdr:col>
      <xdr:colOff>656181</xdr:colOff>
      <xdr:row>95</xdr:row>
      <xdr:rowOff>142332</xdr:rowOff>
    </xdr:to>
    <xdr:pic>
      <xdr:nvPicPr>
        <xdr:cNvPr id="9" name="图片 8">
          <a:extLst>
            <a:ext uri="{FF2B5EF4-FFF2-40B4-BE49-F238E27FC236}">
              <a16:creationId xmlns:a16="http://schemas.microsoft.com/office/drawing/2014/main" id="{AA3DF836-FAF8-4A86-98FF-50DE71C95A7A}"/>
            </a:ext>
          </a:extLst>
        </xdr:cNvPr>
        <xdr:cNvPicPr>
          <a:picLocks noChangeAspect="1"/>
        </xdr:cNvPicPr>
      </xdr:nvPicPr>
      <xdr:blipFill>
        <a:blip xmlns:r="http://schemas.openxmlformats.org/officeDocument/2006/relationships" r:embed="rId8"/>
        <a:stretch>
          <a:fillRect/>
        </a:stretch>
      </xdr:blipFill>
      <xdr:spPr>
        <a:xfrm>
          <a:off x="0" y="13677900"/>
          <a:ext cx="7514181" cy="2752182"/>
        </a:xfrm>
        <a:prstGeom prst="rect">
          <a:avLst/>
        </a:prstGeom>
      </xdr:spPr>
    </xdr:pic>
    <xdr:clientData/>
  </xdr:twoCellAnchor>
  <xdr:twoCellAnchor editAs="oneCell">
    <xdr:from>
      <xdr:col>11</xdr:col>
      <xdr:colOff>526262</xdr:colOff>
      <xdr:row>7</xdr:row>
      <xdr:rowOff>114300</xdr:rowOff>
    </xdr:from>
    <xdr:to>
      <xdr:col>18</xdr:col>
      <xdr:colOff>266614</xdr:colOff>
      <xdr:row>21</xdr:row>
      <xdr:rowOff>76200</xdr:rowOff>
    </xdr:to>
    <xdr:pic>
      <xdr:nvPicPr>
        <xdr:cNvPr id="10" name="图片 9">
          <a:extLst>
            <a:ext uri="{FF2B5EF4-FFF2-40B4-BE49-F238E27FC236}">
              <a16:creationId xmlns:a16="http://schemas.microsoft.com/office/drawing/2014/main" id="{7512BEB1-D2B8-4A40-BF73-F2F229B9CD7E}"/>
            </a:ext>
          </a:extLst>
        </xdr:cNvPr>
        <xdr:cNvPicPr>
          <a:picLocks noChangeAspect="1"/>
        </xdr:cNvPicPr>
      </xdr:nvPicPr>
      <xdr:blipFill>
        <a:blip xmlns:r="http://schemas.openxmlformats.org/officeDocument/2006/relationships" r:embed="rId9"/>
        <a:stretch>
          <a:fillRect/>
        </a:stretch>
      </xdr:blipFill>
      <xdr:spPr>
        <a:xfrm>
          <a:off x="8070062" y="1314450"/>
          <a:ext cx="5350577" cy="2362200"/>
        </a:xfrm>
        <a:prstGeom prst="rect">
          <a:avLst/>
        </a:prstGeom>
      </xdr:spPr>
    </xdr:pic>
    <xdr:clientData/>
  </xdr:twoCellAnchor>
  <xdr:twoCellAnchor editAs="oneCell">
    <xdr:from>
      <xdr:col>10</xdr:col>
      <xdr:colOff>590550</xdr:colOff>
      <xdr:row>73</xdr:row>
      <xdr:rowOff>20601</xdr:rowOff>
    </xdr:from>
    <xdr:to>
      <xdr:col>21</xdr:col>
      <xdr:colOff>246165</xdr:colOff>
      <xdr:row>91</xdr:row>
      <xdr:rowOff>113711</xdr:rowOff>
    </xdr:to>
    <xdr:pic>
      <xdr:nvPicPr>
        <xdr:cNvPr id="11" name="图片 10">
          <a:extLst>
            <a:ext uri="{FF2B5EF4-FFF2-40B4-BE49-F238E27FC236}">
              <a16:creationId xmlns:a16="http://schemas.microsoft.com/office/drawing/2014/main" id="{F805ED46-F912-4F5A-8266-43CD1239636F}"/>
            </a:ext>
          </a:extLst>
        </xdr:cNvPr>
        <xdr:cNvPicPr>
          <a:picLocks noChangeAspect="1"/>
        </xdr:cNvPicPr>
      </xdr:nvPicPr>
      <xdr:blipFill>
        <a:blip xmlns:r="http://schemas.openxmlformats.org/officeDocument/2006/relationships" r:embed="rId10"/>
        <a:stretch>
          <a:fillRect/>
        </a:stretch>
      </xdr:blipFill>
      <xdr:spPr>
        <a:xfrm>
          <a:off x="7448550" y="12536451"/>
          <a:ext cx="8009040" cy="3179210"/>
        </a:xfrm>
        <a:prstGeom prst="rect">
          <a:avLst/>
        </a:prstGeom>
      </xdr:spPr>
    </xdr:pic>
    <xdr:clientData/>
  </xdr:twoCellAnchor>
  <xdr:twoCellAnchor editAs="oneCell">
    <xdr:from>
      <xdr:col>10</xdr:col>
      <xdr:colOff>538136</xdr:colOff>
      <xdr:row>57</xdr:row>
      <xdr:rowOff>82265</xdr:rowOff>
    </xdr:from>
    <xdr:to>
      <xdr:col>19</xdr:col>
      <xdr:colOff>381001</xdr:colOff>
      <xdr:row>74</xdr:row>
      <xdr:rowOff>132711</xdr:rowOff>
    </xdr:to>
    <xdr:pic>
      <xdr:nvPicPr>
        <xdr:cNvPr id="12" name="图片 11">
          <a:extLst>
            <a:ext uri="{FF2B5EF4-FFF2-40B4-BE49-F238E27FC236}">
              <a16:creationId xmlns:a16="http://schemas.microsoft.com/office/drawing/2014/main" id="{8DB58DCB-2FBE-46CE-A99A-C68F8EC05094}"/>
            </a:ext>
          </a:extLst>
        </xdr:cNvPr>
        <xdr:cNvPicPr>
          <a:picLocks noChangeAspect="1"/>
        </xdr:cNvPicPr>
      </xdr:nvPicPr>
      <xdr:blipFill>
        <a:blip xmlns:r="http://schemas.openxmlformats.org/officeDocument/2006/relationships" r:embed="rId11"/>
        <a:stretch>
          <a:fillRect/>
        </a:stretch>
      </xdr:blipFill>
      <xdr:spPr>
        <a:xfrm>
          <a:off x="7396136" y="9854915"/>
          <a:ext cx="6824690" cy="2965096"/>
        </a:xfrm>
        <a:prstGeom prst="rect">
          <a:avLst/>
        </a:prstGeom>
      </xdr:spPr>
    </xdr:pic>
    <xdr:clientData/>
  </xdr:twoCellAnchor>
  <xdr:twoCellAnchor editAs="oneCell">
    <xdr:from>
      <xdr:col>10</xdr:col>
      <xdr:colOff>57150</xdr:colOff>
      <xdr:row>61</xdr:row>
      <xdr:rowOff>85725</xdr:rowOff>
    </xdr:from>
    <xdr:to>
      <xdr:col>26</xdr:col>
      <xdr:colOff>141392</xdr:colOff>
      <xdr:row>93</xdr:row>
      <xdr:rowOff>151706</xdr:rowOff>
    </xdr:to>
    <xdr:pic>
      <xdr:nvPicPr>
        <xdr:cNvPr id="13" name="图片 12">
          <a:extLst>
            <a:ext uri="{FF2B5EF4-FFF2-40B4-BE49-F238E27FC236}">
              <a16:creationId xmlns:a16="http://schemas.microsoft.com/office/drawing/2014/main" id="{541C52D1-C21A-4285-804C-1F8AA5399B77}"/>
            </a:ext>
          </a:extLst>
        </xdr:cNvPr>
        <xdr:cNvPicPr>
          <a:picLocks noChangeAspect="1"/>
        </xdr:cNvPicPr>
      </xdr:nvPicPr>
      <xdr:blipFill>
        <a:blip xmlns:r="http://schemas.openxmlformats.org/officeDocument/2006/relationships" r:embed="rId12"/>
        <a:stretch>
          <a:fillRect/>
        </a:stretch>
      </xdr:blipFill>
      <xdr:spPr>
        <a:xfrm>
          <a:off x="6915150" y="10544175"/>
          <a:ext cx="11866667" cy="5552381"/>
        </a:xfrm>
        <a:prstGeom prst="rect">
          <a:avLst/>
        </a:prstGeom>
      </xdr:spPr>
    </xdr:pic>
    <xdr:clientData/>
  </xdr:twoCellAnchor>
  <xdr:twoCellAnchor editAs="oneCell">
    <xdr:from>
      <xdr:col>14</xdr:col>
      <xdr:colOff>285750</xdr:colOff>
      <xdr:row>13</xdr:row>
      <xdr:rowOff>126904</xdr:rowOff>
    </xdr:from>
    <xdr:to>
      <xdr:col>24</xdr:col>
      <xdr:colOff>655722</xdr:colOff>
      <xdr:row>30</xdr:row>
      <xdr:rowOff>151817</xdr:rowOff>
    </xdr:to>
    <xdr:pic>
      <xdr:nvPicPr>
        <xdr:cNvPr id="14" name="图片 13">
          <a:extLst>
            <a:ext uri="{FF2B5EF4-FFF2-40B4-BE49-F238E27FC236}">
              <a16:creationId xmlns:a16="http://schemas.microsoft.com/office/drawing/2014/main" id="{855850D7-64C7-49A8-87B9-57EA32536B46}"/>
            </a:ext>
          </a:extLst>
        </xdr:cNvPr>
        <xdr:cNvPicPr>
          <a:picLocks noChangeAspect="1"/>
        </xdr:cNvPicPr>
      </xdr:nvPicPr>
      <xdr:blipFill>
        <a:blip xmlns:r="http://schemas.openxmlformats.org/officeDocument/2006/relationships" r:embed="rId13"/>
        <a:stretch>
          <a:fillRect/>
        </a:stretch>
      </xdr:blipFill>
      <xdr:spPr>
        <a:xfrm>
          <a:off x="10353675" y="2355754"/>
          <a:ext cx="7570872" cy="2939563"/>
        </a:xfrm>
        <a:prstGeom prst="rect">
          <a:avLst/>
        </a:prstGeom>
      </xdr:spPr>
    </xdr:pic>
    <xdr:clientData/>
  </xdr:twoCellAnchor>
  <xdr:twoCellAnchor editAs="oneCell">
    <xdr:from>
      <xdr:col>12</xdr:col>
      <xdr:colOff>38100</xdr:colOff>
      <xdr:row>57</xdr:row>
      <xdr:rowOff>152400</xdr:rowOff>
    </xdr:from>
    <xdr:to>
      <xdr:col>28</xdr:col>
      <xdr:colOff>27103</xdr:colOff>
      <xdr:row>86</xdr:row>
      <xdr:rowOff>75588</xdr:rowOff>
    </xdr:to>
    <xdr:pic>
      <xdr:nvPicPr>
        <xdr:cNvPr id="15" name="图片 14">
          <a:extLst>
            <a:ext uri="{FF2B5EF4-FFF2-40B4-BE49-F238E27FC236}">
              <a16:creationId xmlns:a16="http://schemas.microsoft.com/office/drawing/2014/main" id="{558D1B6A-2F44-4800-AB54-4AE7D713DE45}"/>
            </a:ext>
          </a:extLst>
        </xdr:cNvPr>
        <xdr:cNvPicPr>
          <a:picLocks noChangeAspect="1"/>
        </xdr:cNvPicPr>
      </xdr:nvPicPr>
      <xdr:blipFill>
        <a:blip xmlns:r="http://schemas.openxmlformats.org/officeDocument/2006/relationships" r:embed="rId14"/>
        <a:stretch>
          <a:fillRect/>
        </a:stretch>
      </xdr:blipFill>
      <xdr:spPr>
        <a:xfrm>
          <a:off x="8267700" y="9925050"/>
          <a:ext cx="11771428" cy="4895238"/>
        </a:xfrm>
        <a:prstGeom prst="rect">
          <a:avLst/>
        </a:prstGeom>
      </xdr:spPr>
    </xdr:pic>
    <xdr:clientData/>
  </xdr:twoCellAnchor>
  <xdr:twoCellAnchor editAs="oneCell">
    <xdr:from>
      <xdr:col>16</xdr:col>
      <xdr:colOff>360019</xdr:colOff>
      <xdr:row>0</xdr:row>
      <xdr:rowOff>133350</xdr:rowOff>
    </xdr:from>
    <xdr:to>
      <xdr:col>25</xdr:col>
      <xdr:colOff>152400</xdr:colOff>
      <xdr:row>13</xdr:row>
      <xdr:rowOff>112357</xdr:rowOff>
    </xdr:to>
    <xdr:pic>
      <xdr:nvPicPr>
        <xdr:cNvPr id="16" name="图片 15">
          <a:extLst>
            <a:ext uri="{FF2B5EF4-FFF2-40B4-BE49-F238E27FC236}">
              <a16:creationId xmlns:a16="http://schemas.microsoft.com/office/drawing/2014/main" id="{DCF03C8F-A388-4C51-82E6-3BB34C6AB9E6}"/>
            </a:ext>
          </a:extLst>
        </xdr:cNvPr>
        <xdr:cNvPicPr>
          <a:picLocks noChangeAspect="1"/>
        </xdr:cNvPicPr>
      </xdr:nvPicPr>
      <xdr:blipFill>
        <a:blip xmlns:r="http://schemas.openxmlformats.org/officeDocument/2006/relationships" r:embed="rId15"/>
        <a:stretch>
          <a:fillRect/>
        </a:stretch>
      </xdr:blipFill>
      <xdr:spPr>
        <a:xfrm>
          <a:off x="12142444" y="133350"/>
          <a:ext cx="5964581" cy="2207857"/>
        </a:xfrm>
        <a:prstGeom prst="rect">
          <a:avLst/>
        </a:prstGeom>
      </xdr:spPr>
    </xdr:pic>
    <xdr:clientData/>
  </xdr:twoCellAnchor>
  <xdr:twoCellAnchor editAs="oneCell">
    <xdr:from>
      <xdr:col>17</xdr:col>
      <xdr:colOff>184098</xdr:colOff>
      <xdr:row>17</xdr:row>
      <xdr:rowOff>9524</xdr:rowOff>
    </xdr:from>
    <xdr:to>
      <xdr:col>29</xdr:col>
      <xdr:colOff>484280</xdr:colOff>
      <xdr:row>41</xdr:row>
      <xdr:rowOff>37373</xdr:rowOff>
    </xdr:to>
    <xdr:pic>
      <xdr:nvPicPr>
        <xdr:cNvPr id="17" name="图片 16">
          <a:extLst>
            <a:ext uri="{FF2B5EF4-FFF2-40B4-BE49-F238E27FC236}">
              <a16:creationId xmlns:a16="http://schemas.microsoft.com/office/drawing/2014/main" id="{D9DADDEB-59DC-402D-B24B-E35C29180675}"/>
            </a:ext>
          </a:extLst>
        </xdr:cNvPr>
        <xdr:cNvPicPr>
          <a:picLocks noChangeAspect="1"/>
        </xdr:cNvPicPr>
      </xdr:nvPicPr>
      <xdr:blipFill>
        <a:blip xmlns:r="http://schemas.openxmlformats.org/officeDocument/2006/relationships" r:embed="rId16"/>
        <a:stretch>
          <a:fillRect/>
        </a:stretch>
      </xdr:blipFill>
      <xdr:spPr>
        <a:xfrm>
          <a:off x="12652323" y="2924174"/>
          <a:ext cx="8529782" cy="4142649"/>
        </a:xfrm>
        <a:prstGeom prst="rect">
          <a:avLst/>
        </a:prstGeom>
      </xdr:spPr>
    </xdr:pic>
    <xdr:clientData/>
  </xdr:twoCellAnchor>
  <xdr:twoCellAnchor editAs="oneCell">
    <xdr:from>
      <xdr:col>2</xdr:col>
      <xdr:colOff>485775</xdr:colOff>
      <xdr:row>26</xdr:row>
      <xdr:rowOff>80601</xdr:rowOff>
    </xdr:from>
    <xdr:to>
      <xdr:col>11</xdr:col>
      <xdr:colOff>170509</xdr:colOff>
      <xdr:row>45</xdr:row>
      <xdr:rowOff>151865</xdr:rowOff>
    </xdr:to>
    <xdr:pic>
      <xdr:nvPicPr>
        <xdr:cNvPr id="18" name="图片 17">
          <a:extLst>
            <a:ext uri="{FF2B5EF4-FFF2-40B4-BE49-F238E27FC236}">
              <a16:creationId xmlns:a16="http://schemas.microsoft.com/office/drawing/2014/main" id="{43FD52A3-CDB1-4E4D-90E3-1772FE4358D8}"/>
            </a:ext>
          </a:extLst>
        </xdr:cNvPr>
        <xdr:cNvPicPr>
          <a:picLocks noChangeAspect="1"/>
        </xdr:cNvPicPr>
      </xdr:nvPicPr>
      <xdr:blipFill>
        <a:blip xmlns:r="http://schemas.openxmlformats.org/officeDocument/2006/relationships" r:embed="rId17"/>
        <a:stretch>
          <a:fillRect/>
        </a:stretch>
      </xdr:blipFill>
      <xdr:spPr>
        <a:xfrm>
          <a:off x="1857375" y="4538301"/>
          <a:ext cx="5856934" cy="3328814"/>
        </a:xfrm>
        <a:prstGeom prst="rect">
          <a:avLst/>
        </a:prstGeom>
      </xdr:spPr>
    </xdr:pic>
    <xdr:clientData/>
  </xdr:twoCellAnchor>
  <xdr:twoCellAnchor editAs="oneCell">
    <xdr:from>
      <xdr:col>10</xdr:col>
      <xdr:colOff>400050</xdr:colOff>
      <xdr:row>25</xdr:row>
      <xdr:rowOff>28575</xdr:rowOff>
    </xdr:from>
    <xdr:to>
      <xdr:col>19</xdr:col>
      <xdr:colOff>103939</xdr:colOff>
      <xdr:row>36</xdr:row>
      <xdr:rowOff>18815</xdr:rowOff>
    </xdr:to>
    <xdr:pic>
      <xdr:nvPicPr>
        <xdr:cNvPr id="19" name="图片 18">
          <a:extLst>
            <a:ext uri="{FF2B5EF4-FFF2-40B4-BE49-F238E27FC236}">
              <a16:creationId xmlns:a16="http://schemas.microsoft.com/office/drawing/2014/main" id="{AC47596A-9C1D-4514-B7CE-4639FBDA4759}"/>
            </a:ext>
          </a:extLst>
        </xdr:cNvPr>
        <xdr:cNvPicPr>
          <a:picLocks noChangeAspect="1"/>
        </xdr:cNvPicPr>
      </xdr:nvPicPr>
      <xdr:blipFill>
        <a:blip xmlns:r="http://schemas.openxmlformats.org/officeDocument/2006/relationships" r:embed="rId18"/>
        <a:stretch>
          <a:fillRect/>
        </a:stretch>
      </xdr:blipFill>
      <xdr:spPr>
        <a:xfrm>
          <a:off x="7258050" y="4314825"/>
          <a:ext cx="6685714" cy="18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200025</xdr:colOff>
      <xdr:row>10</xdr:row>
      <xdr:rowOff>9525</xdr:rowOff>
    </xdr:from>
    <xdr:to>
      <xdr:col>23</xdr:col>
      <xdr:colOff>332244</xdr:colOff>
      <xdr:row>39</xdr:row>
      <xdr:rowOff>18427</xdr:rowOff>
    </xdr:to>
    <xdr:pic>
      <xdr:nvPicPr>
        <xdr:cNvPr id="4" name="图片 3">
          <a:extLst>
            <a:ext uri="{FF2B5EF4-FFF2-40B4-BE49-F238E27FC236}">
              <a16:creationId xmlns:a16="http://schemas.microsoft.com/office/drawing/2014/main" id="{F0433C72-715C-4C10-8DB7-1298CC1974E7}"/>
            </a:ext>
          </a:extLst>
        </xdr:cNvPr>
        <xdr:cNvPicPr>
          <a:picLocks noChangeAspect="1"/>
        </xdr:cNvPicPr>
      </xdr:nvPicPr>
      <xdr:blipFill>
        <a:blip xmlns:r="http://schemas.openxmlformats.org/officeDocument/2006/relationships" r:embed="rId1"/>
        <a:stretch>
          <a:fillRect/>
        </a:stretch>
      </xdr:blipFill>
      <xdr:spPr>
        <a:xfrm>
          <a:off x="9296400" y="4648200"/>
          <a:ext cx="9047619" cy="4980952"/>
        </a:xfrm>
        <a:prstGeom prst="rect">
          <a:avLst/>
        </a:prstGeom>
      </xdr:spPr>
    </xdr:pic>
    <xdr:clientData/>
  </xdr:twoCellAnchor>
  <xdr:twoCellAnchor editAs="oneCell">
    <xdr:from>
      <xdr:col>10</xdr:col>
      <xdr:colOff>575717</xdr:colOff>
      <xdr:row>38</xdr:row>
      <xdr:rowOff>142875</xdr:rowOff>
    </xdr:from>
    <xdr:to>
      <xdr:col>19</xdr:col>
      <xdr:colOff>265550</xdr:colOff>
      <xdr:row>51</xdr:row>
      <xdr:rowOff>94823</xdr:rowOff>
    </xdr:to>
    <xdr:pic>
      <xdr:nvPicPr>
        <xdr:cNvPr id="5" name="图片 4">
          <a:extLst>
            <a:ext uri="{FF2B5EF4-FFF2-40B4-BE49-F238E27FC236}">
              <a16:creationId xmlns:a16="http://schemas.microsoft.com/office/drawing/2014/main" id="{D5622BB7-8C95-4E25-B257-49A02F9D9F32}"/>
            </a:ext>
          </a:extLst>
        </xdr:cNvPr>
        <xdr:cNvPicPr>
          <a:picLocks noChangeAspect="1"/>
        </xdr:cNvPicPr>
      </xdr:nvPicPr>
      <xdr:blipFill>
        <a:blip xmlns:r="http://schemas.openxmlformats.org/officeDocument/2006/relationships" r:embed="rId2"/>
        <a:stretch>
          <a:fillRect/>
        </a:stretch>
      </xdr:blipFill>
      <xdr:spPr>
        <a:xfrm>
          <a:off x="10357892" y="9077325"/>
          <a:ext cx="5862033" cy="2180798"/>
        </a:xfrm>
        <a:prstGeom prst="rect">
          <a:avLst/>
        </a:prstGeom>
      </xdr:spPr>
    </xdr:pic>
    <xdr:clientData/>
  </xdr:twoCellAnchor>
  <xdr:twoCellAnchor editAs="oneCell">
    <xdr:from>
      <xdr:col>0</xdr:col>
      <xdr:colOff>0</xdr:colOff>
      <xdr:row>12</xdr:row>
      <xdr:rowOff>38100</xdr:rowOff>
    </xdr:from>
    <xdr:to>
      <xdr:col>4</xdr:col>
      <xdr:colOff>1875745</xdr:colOff>
      <xdr:row>27</xdr:row>
      <xdr:rowOff>152064</xdr:rowOff>
    </xdr:to>
    <xdr:pic>
      <xdr:nvPicPr>
        <xdr:cNvPr id="6" name="图片 5">
          <a:extLst>
            <a:ext uri="{FF2B5EF4-FFF2-40B4-BE49-F238E27FC236}">
              <a16:creationId xmlns:a16="http://schemas.microsoft.com/office/drawing/2014/main" id="{B4BA1F04-E4A1-477A-9A74-AD0AF2285162}"/>
            </a:ext>
          </a:extLst>
        </xdr:cNvPr>
        <xdr:cNvPicPr>
          <a:picLocks noChangeAspect="1"/>
        </xdr:cNvPicPr>
      </xdr:nvPicPr>
      <xdr:blipFill>
        <a:blip xmlns:r="http://schemas.openxmlformats.org/officeDocument/2006/relationships" r:embed="rId3"/>
        <a:stretch>
          <a:fillRect/>
        </a:stretch>
      </xdr:blipFill>
      <xdr:spPr>
        <a:xfrm>
          <a:off x="0" y="5019675"/>
          <a:ext cx="5438095" cy="2685714"/>
        </a:xfrm>
        <a:prstGeom prst="rect">
          <a:avLst/>
        </a:prstGeom>
      </xdr:spPr>
    </xdr:pic>
    <xdr:clientData/>
  </xdr:twoCellAnchor>
  <xdr:twoCellAnchor editAs="oneCell">
    <xdr:from>
      <xdr:col>0</xdr:col>
      <xdr:colOff>0</xdr:colOff>
      <xdr:row>20</xdr:row>
      <xdr:rowOff>123825</xdr:rowOff>
    </xdr:from>
    <xdr:to>
      <xdr:col>4</xdr:col>
      <xdr:colOff>1113840</xdr:colOff>
      <xdr:row>28</xdr:row>
      <xdr:rowOff>18892</xdr:rowOff>
    </xdr:to>
    <xdr:pic>
      <xdr:nvPicPr>
        <xdr:cNvPr id="7" name="图片 6">
          <a:extLst>
            <a:ext uri="{FF2B5EF4-FFF2-40B4-BE49-F238E27FC236}">
              <a16:creationId xmlns:a16="http://schemas.microsoft.com/office/drawing/2014/main" id="{D05DB70A-C182-49C8-A807-D736A055BE06}"/>
            </a:ext>
          </a:extLst>
        </xdr:cNvPr>
        <xdr:cNvPicPr>
          <a:picLocks noChangeAspect="1"/>
        </xdr:cNvPicPr>
      </xdr:nvPicPr>
      <xdr:blipFill>
        <a:blip xmlns:r="http://schemas.openxmlformats.org/officeDocument/2006/relationships" r:embed="rId4"/>
        <a:stretch>
          <a:fillRect/>
        </a:stretch>
      </xdr:blipFill>
      <xdr:spPr>
        <a:xfrm>
          <a:off x="0" y="6477000"/>
          <a:ext cx="4676190" cy="1266667"/>
        </a:xfrm>
        <a:prstGeom prst="rect">
          <a:avLst/>
        </a:prstGeom>
      </xdr:spPr>
    </xdr:pic>
    <xdr:clientData/>
  </xdr:twoCellAnchor>
  <xdr:twoCellAnchor editAs="oneCell">
    <xdr:from>
      <xdr:col>0</xdr:col>
      <xdr:colOff>0</xdr:colOff>
      <xdr:row>28</xdr:row>
      <xdr:rowOff>123825</xdr:rowOff>
    </xdr:from>
    <xdr:to>
      <xdr:col>6</xdr:col>
      <xdr:colOff>922974</xdr:colOff>
      <xdr:row>61</xdr:row>
      <xdr:rowOff>132642</xdr:rowOff>
    </xdr:to>
    <xdr:pic>
      <xdr:nvPicPr>
        <xdr:cNvPr id="8" name="图片 7">
          <a:extLst>
            <a:ext uri="{FF2B5EF4-FFF2-40B4-BE49-F238E27FC236}">
              <a16:creationId xmlns:a16="http://schemas.microsoft.com/office/drawing/2014/main" id="{2666FEE1-272C-4F23-B420-E8522CE1A08A}"/>
            </a:ext>
          </a:extLst>
        </xdr:cNvPr>
        <xdr:cNvPicPr>
          <a:picLocks noChangeAspect="1"/>
        </xdr:cNvPicPr>
      </xdr:nvPicPr>
      <xdr:blipFill>
        <a:blip xmlns:r="http://schemas.openxmlformats.org/officeDocument/2006/relationships" r:embed="rId5"/>
        <a:stretch>
          <a:fillRect/>
        </a:stretch>
      </xdr:blipFill>
      <xdr:spPr>
        <a:xfrm>
          <a:off x="0" y="7343775"/>
          <a:ext cx="7609524" cy="5666667"/>
        </a:xfrm>
        <a:prstGeom prst="rect">
          <a:avLst/>
        </a:prstGeom>
      </xdr:spPr>
    </xdr:pic>
    <xdr:clientData/>
  </xdr:twoCellAnchor>
  <xdr:twoCellAnchor editAs="oneCell">
    <xdr:from>
      <xdr:col>8</xdr:col>
      <xdr:colOff>638175</xdr:colOff>
      <xdr:row>51</xdr:row>
      <xdr:rowOff>28575</xdr:rowOff>
    </xdr:from>
    <xdr:to>
      <xdr:col>20</xdr:col>
      <xdr:colOff>8565</xdr:colOff>
      <xdr:row>59</xdr:row>
      <xdr:rowOff>47451</xdr:rowOff>
    </xdr:to>
    <xdr:pic>
      <xdr:nvPicPr>
        <xdr:cNvPr id="3" name="图片 2">
          <a:extLst>
            <a:ext uri="{FF2B5EF4-FFF2-40B4-BE49-F238E27FC236}">
              <a16:creationId xmlns:a16="http://schemas.microsoft.com/office/drawing/2014/main" id="{5CCE5E84-4766-4040-B59A-CE4D026B5CDF}"/>
            </a:ext>
          </a:extLst>
        </xdr:cNvPr>
        <xdr:cNvPicPr>
          <a:picLocks noChangeAspect="1"/>
        </xdr:cNvPicPr>
      </xdr:nvPicPr>
      <xdr:blipFill>
        <a:blip xmlns:r="http://schemas.openxmlformats.org/officeDocument/2006/relationships" r:embed="rId6"/>
        <a:stretch>
          <a:fillRect/>
        </a:stretch>
      </xdr:blipFill>
      <xdr:spPr>
        <a:xfrm>
          <a:off x="7505700" y="11696700"/>
          <a:ext cx="7676190" cy="1390476"/>
        </a:xfrm>
        <a:prstGeom prst="rect">
          <a:avLst/>
        </a:prstGeom>
      </xdr:spPr>
    </xdr:pic>
    <xdr:clientData/>
  </xdr:twoCellAnchor>
  <xdr:twoCellAnchor editAs="oneCell">
    <xdr:from>
      <xdr:col>8</xdr:col>
      <xdr:colOff>638175</xdr:colOff>
      <xdr:row>59</xdr:row>
      <xdr:rowOff>19050</xdr:rowOff>
    </xdr:from>
    <xdr:to>
      <xdr:col>20</xdr:col>
      <xdr:colOff>256184</xdr:colOff>
      <xdr:row>75</xdr:row>
      <xdr:rowOff>47279</xdr:rowOff>
    </xdr:to>
    <xdr:pic>
      <xdr:nvPicPr>
        <xdr:cNvPr id="9" name="图片 8">
          <a:extLst>
            <a:ext uri="{FF2B5EF4-FFF2-40B4-BE49-F238E27FC236}">
              <a16:creationId xmlns:a16="http://schemas.microsoft.com/office/drawing/2014/main" id="{B72D9958-1748-4175-AF4B-84EFB8634860}"/>
            </a:ext>
          </a:extLst>
        </xdr:cNvPr>
        <xdr:cNvPicPr>
          <a:picLocks noChangeAspect="1"/>
        </xdr:cNvPicPr>
      </xdr:nvPicPr>
      <xdr:blipFill>
        <a:blip xmlns:r="http://schemas.openxmlformats.org/officeDocument/2006/relationships" r:embed="rId7"/>
        <a:stretch>
          <a:fillRect/>
        </a:stretch>
      </xdr:blipFill>
      <xdr:spPr>
        <a:xfrm>
          <a:off x="7505700" y="13058775"/>
          <a:ext cx="7923809" cy="2771429"/>
        </a:xfrm>
        <a:prstGeom prst="rect">
          <a:avLst/>
        </a:prstGeom>
      </xdr:spPr>
    </xdr:pic>
    <xdr:clientData/>
  </xdr:twoCellAnchor>
  <xdr:twoCellAnchor editAs="oneCell">
    <xdr:from>
      <xdr:col>0</xdr:col>
      <xdr:colOff>0</xdr:colOff>
      <xdr:row>21</xdr:row>
      <xdr:rowOff>47625</xdr:rowOff>
    </xdr:from>
    <xdr:to>
      <xdr:col>6</xdr:col>
      <xdr:colOff>913450</xdr:colOff>
      <xdr:row>56</xdr:row>
      <xdr:rowOff>104018</xdr:rowOff>
    </xdr:to>
    <xdr:pic>
      <xdr:nvPicPr>
        <xdr:cNvPr id="10" name="图片 9">
          <a:extLst>
            <a:ext uri="{FF2B5EF4-FFF2-40B4-BE49-F238E27FC236}">
              <a16:creationId xmlns:a16="http://schemas.microsoft.com/office/drawing/2014/main" id="{9A7DE102-1B54-4ACE-B8F6-35B7958353FE}"/>
            </a:ext>
          </a:extLst>
        </xdr:cNvPr>
        <xdr:cNvPicPr>
          <a:picLocks noChangeAspect="1"/>
        </xdr:cNvPicPr>
      </xdr:nvPicPr>
      <xdr:blipFill>
        <a:blip xmlns:r="http://schemas.openxmlformats.org/officeDocument/2006/relationships" r:embed="rId8"/>
        <a:stretch>
          <a:fillRect/>
        </a:stretch>
      </xdr:blipFill>
      <xdr:spPr>
        <a:xfrm>
          <a:off x="0" y="6067425"/>
          <a:ext cx="7600000" cy="6057143"/>
        </a:xfrm>
        <a:prstGeom prst="rect">
          <a:avLst/>
        </a:prstGeom>
      </xdr:spPr>
    </xdr:pic>
    <xdr:clientData/>
  </xdr:twoCellAnchor>
  <xdr:twoCellAnchor editAs="oneCell">
    <xdr:from>
      <xdr:col>7</xdr:col>
      <xdr:colOff>428625</xdr:colOff>
      <xdr:row>12</xdr:row>
      <xdr:rowOff>0</xdr:rowOff>
    </xdr:from>
    <xdr:to>
      <xdr:col>21</xdr:col>
      <xdr:colOff>179792</xdr:colOff>
      <xdr:row>33</xdr:row>
      <xdr:rowOff>56693</xdr:rowOff>
    </xdr:to>
    <xdr:pic>
      <xdr:nvPicPr>
        <xdr:cNvPr id="11" name="图片 10">
          <a:extLst>
            <a:ext uri="{FF2B5EF4-FFF2-40B4-BE49-F238E27FC236}">
              <a16:creationId xmlns:a16="http://schemas.microsoft.com/office/drawing/2014/main" id="{57CE27B5-4733-4A9A-B0D6-1C719D362D5B}"/>
            </a:ext>
          </a:extLst>
        </xdr:cNvPr>
        <xdr:cNvPicPr>
          <a:picLocks noChangeAspect="1"/>
        </xdr:cNvPicPr>
      </xdr:nvPicPr>
      <xdr:blipFill>
        <a:blip xmlns:r="http://schemas.openxmlformats.org/officeDocument/2006/relationships" r:embed="rId9"/>
        <a:stretch>
          <a:fillRect/>
        </a:stretch>
      </xdr:blipFill>
      <xdr:spPr>
        <a:xfrm>
          <a:off x="7353300" y="4981575"/>
          <a:ext cx="9466667" cy="3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22823;&#20852;&#27861;&#38498;-&#32463;&#28023;&#22235;&#36335;\&#36164;&#26009;\&#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425;\2.&#32508;&#21512;\&#26696;&#20363;&#21450;&#31199;&#37329;&#25972;&#29702;&#12289;&#24066;&#22330;&#20998;&#26512;\&#31199;&#37329;\7.&#22823;&#20852;&#21306;\2022-1-0093&#22823;&#20852;&#21306;&#22269;&#38160;&#37329;&#23935;&#65288;&#20134;&#24196;&#65289;\2021B&#24231;&#21488;&#36134;9.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
      <sheetName val="凯朋台账"/>
      <sheetName val="万港通台账"/>
      <sheetName val="Sheet1"/>
      <sheetName val="Sheet3"/>
      <sheetName val="42层使用费"/>
      <sheetName val="退租"/>
      <sheetName val="Sheet2"/>
    </sheetNames>
    <sheetDataSet>
      <sheetData sheetId="0"/>
      <sheetData sheetId="1"/>
      <sheetData sheetId="2">
        <row r="67">
          <cell r="BO67">
            <v>1165112</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paimai.jd.com/117306353" TargetMode="External"/><Relationship Id="rId1" Type="http://schemas.openxmlformats.org/officeDocument/2006/relationships/hyperlink" Target="https://paimai.jd.com/215432836"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估价对象为北京市房地产，为所有。根据《国有土地使用证》[]，估价对象（分摊）出让国有建设用地使用权面积为0平方米，建筑面积为5605.5平方米。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估价对象为北京市房地产,属开发建设的，该项目尚在开发建设中。根据《国有土地使用证》[]，估价对象（分摊）出让国有建设用地使用权面积为0平方米，规划建筑面积为5605.5平方米。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2023年5月10日（评估专业人员实地查勘之日）</v>
      </c>
    </row>
    <row r="13" spans="1:2" s="1203" customFormat="1">
      <c r="A13" s="1201" t="s">
        <v>529</v>
      </c>
      <c r="B13" s="1202" t="str">
        <f>'预评函-1'!A18</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5605.5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20" sqref="C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2578</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2579</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3815</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7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6"/>
      <c r="B54" s="1554" t="s">
        <v>385</v>
      </c>
      <c r="C54" s="1551" t="s">
        <v>583</v>
      </c>
    </row>
    <row r="55" spans="1:4">
      <c r="A55" s="3676"/>
      <c r="B55" s="1554" t="s">
        <v>386</v>
      </c>
      <c r="C55" s="1551" t="s">
        <v>584</v>
      </c>
    </row>
    <row r="56" spans="1:4">
      <c r="A56" s="3676"/>
      <c r="B56" s="1554" t="s">
        <v>387</v>
      </c>
      <c r="C56" s="1551" t="s">
        <v>588</v>
      </c>
    </row>
    <row r="57" spans="1:4">
      <c r="A57" s="367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677" t="s">
        <v>2581</v>
      </c>
      <c r="J2" s="3677"/>
      <c r="K2" s="3677"/>
      <c r="L2" s="3677"/>
      <c r="M2" s="3677"/>
      <c r="N2" s="3677"/>
      <c r="O2" s="3677"/>
      <c r="P2" s="3677"/>
      <c r="Q2" s="3677"/>
      <c r="R2" s="3677"/>
    </row>
    <row r="3" spans="1:18">
      <c r="A3" s="3018" t="s">
        <v>2502</v>
      </c>
      <c r="B3" s="3019">
        <f>项目基本情况!D3</f>
        <v>45056</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3.61</v>
      </c>
      <c r="D5" s="3023">
        <f>IF(ISERROR(ROUND(POWER(1+E5,A5-C5)*(POWER(1+E5,C5)-1)/(POWER(1+E5,A5)-1),3)),0,ROUND(POWER(1+E5,A5-C5)*(POWER(1+E5,C5)-1)/(POWER(1+E5,A5)-1),4))</f>
        <v>0.1668</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13.62</v>
      </c>
      <c r="D6" s="3023">
        <f>IF(ISERROR(ROUND(POWER(1+E6,A6-C6)*(POWER(1+E6,C6)-1)/(POWER(1+E6,A6)-1),3)),0,ROUND(POWER(1+E6,A6-C6)*(POWER(1+E6,C6)-1)/(POWER(1+E6,A6)-1),4))</f>
        <v>0.48159999999999997</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33.630000000000003</v>
      </c>
      <c r="D7" s="3023">
        <f>IF(ISERROR(ROUND(POWER(1+E7,A7-C7)*(POWER(1+E7,C7)-1)/(POWER(1+E7,A7)-1),3)),0,ROUND(POWER(1+E7,A7-C7)*(POWER(1+E7,C7)-1)/(POWER(1+E7,A7)-1),4))</f>
        <v>0.78290000000000004</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B1" zoomScaleNormal="100" zoomScaleSheetLayoutView="100" workbookViewId="0">
      <selection activeCell="L12" sqref="L1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78" t="str">
        <f>IF(B10="北京市","北京市",C10)&amp;F10&amp;IF(结果表!G1="在建","出让国有建设用地使用权及在建建筑物",IF(结果表!G1="土地","出让国有建设用地使用权",))&amp;B9&amp;"预评估"</f>
        <v>北京市房地产市场价值预评估</v>
      </c>
      <c r="C1" s="3679"/>
      <c r="D1" s="3679"/>
      <c r="E1" s="3679"/>
      <c r="F1" s="3679"/>
      <c r="G1" s="3679"/>
      <c r="H1" s="3679"/>
      <c r="I1" s="3680"/>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45056</v>
      </c>
      <c r="C3" s="2374" t="s">
        <v>2171</v>
      </c>
      <c r="D3" s="2373">
        <f>B3</f>
        <v>45056</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681" t="s">
        <v>2177</v>
      </c>
      <c r="E8" s="2391"/>
      <c r="F8" s="2392"/>
      <c r="G8" s="2661"/>
      <c r="H8" s="2661"/>
      <c r="I8" s="2661"/>
      <c r="J8" s="2439"/>
      <c r="K8" s="2612"/>
      <c r="L8" s="2611"/>
      <c r="M8" s="2611"/>
      <c r="N8" s="2439"/>
      <c r="O8" s="2450"/>
      <c r="P8" s="2439"/>
      <c r="Q8" s="2439"/>
      <c r="R8" s="2439"/>
    </row>
    <row r="9" spans="1:30" ht="13.5" thickBot="1">
      <c r="A9" s="2393" t="s">
        <v>2178</v>
      </c>
      <c r="B9" s="2394" t="s">
        <v>3377</v>
      </c>
      <c r="C9" s="2395"/>
      <c r="D9" s="3682"/>
      <c r="E9" s="2394"/>
      <c r="F9" s="2396"/>
      <c r="G9" s="2663"/>
      <c r="H9" s="2663"/>
      <c r="I9" s="2663"/>
      <c r="J9" s="2439"/>
      <c r="K9" s="2614"/>
      <c r="L9" s="2611"/>
      <c r="M9" s="2611"/>
      <c r="N9" s="2439"/>
      <c r="O9" s="2450"/>
      <c r="P9" s="2439"/>
      <c r="Q9" s="2439"/>
      <c r="R9" s="2439"/>
    </row>
    <row r="10" spans="1:30" ht="13.5" thickTop="1">
      <c r="A10" s="2397" t="s">
        <v>2179</v>
      </c>
      <c r="B10" s="2398" t="s">
        <v>3378</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3379</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2577</v>
      </c>
      <c r="J12" s="3060"/>
      <c r="K12" s="2611"/>
      <c r="L12" s="2611"/>
      <c r="M12" s="2439"/>
      <c r="N12" s="2450"/>
      <c r="O12" s="2439"/>
      <c r="P12" s="2439"/>
      <c r="Q12" s="2439"/>
      <c r="AD12" s="1745"/>
    </row>
    <row r="13" spans="1:30">
      <c r="A13" s="3421" t="s">
        <v>3336</v>
      </c>
      <c r="B13" s="2407" t="s">
        <v>2190</v>
      </c>
      <c r="C13" s="856"/>
      <c r="D13" s="856"/>
      <c r="E13" s="856"/>
      <c r="F13" s="856"/>
      <c r="G13" s="856"/>
      <c r="H13" s="856">
        <v>57654</v>
      </c>
      <c r="I13" s="856"/>
      <c r="J13" s="3060"/>
      <c r="K13" s="2611"/>
      <c r="L13" s="2611"/>
      <c r="M13" s="2439"/>
      <c r="N13" s="2450"/>
      <c r="O13" s="2439"/>
      <c r="P13" s="2439"/>
      <c r="Q13" s="2439"/>
      <c r="AD13" s="1745"/>
    </row>
    <row r="14" spans="1:30">
      <c r="A14" s="1081"/>
      <c r="B14" s="2407" t="s">
        <v>2191</v>
      </c>
      <c r="C14" s="2408"/>
      <c r="D14" s="2408"/>
      <c r="E14" s="2408"/>
      <c r="F14" s="2408"/>
      <c r="G14" s="2408"/>
      <c r="H14" s="2408">
        <v>50</v>
      </c>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34.51</v>
      </c>
      <c r="I15" s="2410" t="str">
        <f>IF(A13="出让",IF(I13="","",ROUNDDOWN(MIN((I13-$D$3)/365,I14),2)),I14)</f>
        <v/>
      </c>
      <c r="J15" s="3062"/>
      <c r="K15" s="2451"/>
      <c r="L15" s="2451"/>
      <c r="M15" s="2507"/>
      <c r="N15" s="2451"/>
      <c r="O15" s="2507"/>
      <c r="P15" s="2439"/>
      <c r="Q15" s="2439"/>
      <c r="AD15" s="1745"/>
    </row>
    <row r="16" spans="1:30">
      <c r="A16" s="2400" t="s">
        <v>2193</v>
      </c>
      <c r="B16" s="3688"/>
      <c r="C16" s="3689"/>
      <c r="D16" s="3690"/>
      <c r="E16" s="2413" t="s">
        <v>2194</v>
      </c>
      <c r="F16" s="3691"/>
      <c r="G16" s="3692"/>
      <c r="H16" s="3692"/>
      <c r="I16" s="3693"/>
      <c r="J16" s="2439"/>
      <c r="K16" s="2615"/>
      <c r="L16" s="2451"/>
      <c r="M16" s="2451"/>
      <c r="N16" s="2507"/>
      <c r="O16" s="2451"/>
      <c r="P16" s="2507"/>
      <c r="Q16" s="2439"/>
      <c r="R16" s="2439"/>
    </row>
    <row r="17" spans="1:28">
      <c r="A17" s="313" t="s">
        <v>2195</v>
      </c>
      <c r="B17" s="302" t="s">
        <v>2196</v>
      </c>
      <c r="C17" s="8">
        <f>'数据-汇总表'!E3</f>
        <v>5605.5</v>
      </c>
      <c r="D17" s="2322" t="s">
        <v>2197</v>
      </c>
      <c r="E17" s="3694" t="s">
        <v>2198</v>
      </c>
      <c r="F17" s="3695"/>
      <c r="G17" s="3695"/>
      <c r="H17" s="3695"/>
      <c r="I17" s="3696"/>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697" t="s">
        <v>2202</v>
      </c>
      <c r="F18" s="3698"/>
      <c r="G18" s="3698"/>
      <c r="H18" s="3698"/>
      <c r="I18" s="3699"/>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684" t="s">
        <v>2206</v>
      </c>
      <c r="C20" s="3685"/>
      <c r="D20" s="3686" t="s">
        <v>2207</v>
      </c>
      <c r="E20" s="3687"/>
      <c r="F20" s="2645" t="s">
        <v>1056</v>
      </c>
      <c r="G20" s="2662"/>
      <c r="H20" s="2662"/>
      <c r="I20" s="2662"/>
      <c r="J20" s="2439"/>
      <c r="K20" s="368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68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68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701"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701"/>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701"/>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702"/>
      <c r="B30" s="302" t="s">
        <v>2218</v>
      </c>
      <c r="C30" s="3703"/>
      <c r="D30" s="3704"/>
      <c r="E30" s="2662"/>
      <c r="F30" s="2662"/>
      <c r="G30" s="2662"/>
      <c r="H30" s="2662"/>
      <c r="I30" s="2662"/>
      <c r="J30" s="2439"/>
      <c r="K30" s="2614"/>
      <c r="L30" s="2611"/>
      <c r="M30" s="2611"/>
      <c r="N30" s="2439"/>
      <c r="O30" s="2450"/>
      <c r="P30" s="2439"/>
      <c r="Q30" s="2439"/>
      <c r="R30" s="2439"/>
      <c r="S30" s="2439"/>
      <c r="T30" s="2439"/>
      <c r="U30" s="2439"/>
      <c r="V30" s="2439"/>
    </row>
    <row r="31" spans="1:28">
      <c r="A31" s="3705"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706"/>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706"/>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700" t="s">
        <v>2228</v>
      </c>
      <c r="T34" s="2428" t="str">
        <f>NUMBERSTRING(7-K34,1)&amp;"通"</f>
        <v>七通</v>
      </c>
      <c r="U34" s="2439"/>
      <c r="V34" s="2439"/>
    </row>
    <row r="35" spans="1:30">
      <c r="A35" s="2429"/>
      <c r="B35" s="3707" t="s">
        <v>2229</v>
      </c>
      <c r="C35" s="3707"/>
      <c r="D35" s="3707"/>
      <c r="E35" s="3707"/>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70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2580</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t="s">
        <v>29</v>
      </c>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t="s">
        <v>3380</v>
      </c>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5605.5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5605.5</v>
      </c>
      <c r="H5" s="13">
        <f t="shared" ref="H5:AT5" si="0">SUM(H13:H656)</f>
        <v>5605.5</v>
      </c>
      <c r="I5" s="13">
        <f t="shared" si="0"/>
        <v>5605.5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5605.5</v>
      </c>
      <c r="BA5" s="15">
        <f t="shared" si="1"/>
        <v>5605.5</v>
      </c>
      <c r="BB5" s="15">
        <f t="shared" si="1"/>
        <v>5605.5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0</v>
      </c>
      <c r="F13" s="29"/>
      <c r="G13" s="30">
        <f>H13+AC13+AT13</f>
        <v>5605.5</v>
      </c>
      <c r="H13" s="17">
        <f>SUMIF(I$12:AB$12,"总值",I13:AB13)</f>
        <v>5605.5</v>
      </c>
      <c r="I13" s="1626">
        <v>5605.5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5605.5</v>
      </c>
      <c r="BA13" s="13">
        <f>SUM(BB13:BK13)</f>
        <v>5605.5</v>
      </c>
      <c r="BB13" s="13">
        <f>IF($D13="是",I13-J13,0)</f>
        <v>5605.5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9" sqref="F2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717" t="s">
        <v>1131</v>
      </c>
      <c r="B2" s="3717"/>
      <c r="C2" s="3717"/>
      <c r="D2" s="796" t="s">
        <v>1107</v>
      </c>
      <c r="E2" s="1639" t="s">
        <v>1108</v>
      </c>
      <c r="F2" s="2657"/>
      <c r="G2" s="2648"/>
      <c r="H2" s="2649"/>
      <c r="I2" s="2325" t="s">
        <v>1132</v>
      </c>
      <c r="J2" s="2657"/>
      <c r="K2" s="2657"/>
      <c r="L2" s="2657"/>
      <c r="M2" s="2657"/>
      <c r="N2" s="2659"/>
      <c r="O2" s="2657"/>
      <c r="P2" s="2657"/>
    </row>
    <row r="3" spans="1:16" ht="15.75" thickBot="1">
      <c r="A3" s="3718" t="s">
        <v>1105</v>
      </c>
      <c r="B3" s="3718"/>
      <c r="C3" s="3718"/>
      <c r="D3" s="43">
        <f>'数据-基础表'!AY6</f>
        <v>0</v>
      </c>
      <c r="E3" s="43">
        <f>'数据-基础表'!AZ5</f>
        <v>5605.5</v>
      </c>
      <c r="F3" s="2657"/>
      <c r="G3" s="1145"/>
      <c r="H3" s="1026" t="s">
        <v>1106</v>
      </c>
      <c r="I3" s="855" t="e">
        <f>ROUND('数据-基础表'!B3/'数据-基础表'!A3,2)</f>
        <v>#DIV/0!</v>
      </c>
      <c r="J3" s="2657"/>
      <c r="K3" s="2657"/>
      <c r="L3" s="2657"/>
      <c r="M3" s="2657"/>
      <c r="N3" s="2659"/>
      <c r="O3" s="2657"/>
      <c r="P3" s="2657"/>
    </row>
    <row r="4" spans="1:16" ht="15">
      <c r="A4" s="3719"/>
      <c r="B4" s="3720"/>
      <c r="C4" s="3721"/>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722" t="s">
        <v>1110</v>
      </c>
      <c r="C5" s="3722"/>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722" t="s">
        <v>1111</v>
      </c>
      <c r="C6" s="3722"/>
      <c r="D6" s="45">
        <f>ROUND($D$3*E6/$E$3,2)</f>
        <v>0</v>
      </c>
      <c r="E6" s="46">
        <f>E3-E5</f>
        <v>5605.5</v>
      </c>
      <c r="F6" s="2657"/>
      <c r="G6" s="2651" t="s">
        <v>1112</v>
      </c>
      <c r="H6" s="1146" t="s">
        <v>1113</v>
      </c>
      <c r="I6" s="2652" t="e">
        <f>ROUND(F31/D31,2)</f>
        <v>#DIV/0!</v>
      </c>
      <c r="J6" s="2657"/>
      <c r="K6" s="2657"/>
      <c r="L6" s="2657"/>
      <c r="M6" s="2657"/>
      <c r="N6" s="2657"/>
      <c r="O6" s="2657"/>
      <c r="P6" s="2657"/>
    </row>
    <row r="7" spans="1:16" ht="15.75" thickBot="1">
      <c r="A7" s="3714"/>
      <c r="B7" s="3715"/>
      <c r="C7" s="3716"/>
      <c r="D7" s="1641" t="s">
        <v>1107</v>
      </c>
      <c r="E7" s="1645" t="s">
        <v>1114</v>
      </c>
      <c r="F7" s="2657"/>
      <c r="G7" s="2653" t="s">
        <v>1115</v>
      </c>
      <c r="H7" s="2654"/>
      <c r="I7" s="2655">
        <v>1.2</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5605.5</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5605.5</v>
      </c>
      <c r="F16" s="2657"/>
      <c r="G16" s="2658"/>
      <c r="H16" s="1648" t="s">
        <v>1135</v>
      </c>
      <c r="I16" s="1649"/>
      <c r="J16" s="1139"/>
      <c r="K16" s="3711" t="s">
        <v>1135</v>
      </c>
      <c r="L16" s="3712"/>
      <c r="M16" s="3712"/>
      <c r="N16" s="3712"/>
      <c r="O16" s="3712"/>
      <c r="P16" s="3713"/>
    </row>
    <row r="17" spans="1:19" ht="15">
      <c r="A17" s="1650" t="s">
        <v>1136</v>
      </c>
      <c r="B17" s="1651" t="s">
        <v>1137</v>
      </c>
      <c r="C17" s="1652" t="s">
        <v>1138</v>
      </c>
      <c r="D17" s="1653" t="s">
        <v>1126</v>
      </c>
      <c r="E17" s="1654" t="s">
        <v>1127</v>
      </c>
      <c r="F17" s="1655"/>
      <c r="G17" s="1656"/>
      <c r="H17" s="1657" t="s">
        <v>1139</v>
      </c>
      <c r="I17" s="1658" t="s">
        <v>1124</v>
      </c>
      <c r="J17" s="1139"/>
      <c r="K17" s="3708" t="s">
        <v>1140</v>
      </c>
      <c r="L17" s="3709"/>
      <c r="M17" s="3710"/>
      <c r="N17" s="3708" t="s">
        <v>1141</v>
      </c>
      <c r="O17" s="3709"/>
      <c r="P17" s="371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3389</v>
      </c>
      <c r="D19" s="45">
        <f>ROUND($D$3*E19/$E$3,2)</f>
        <v>0</v>
      </c>
      <c r="E19" s="53">
        <f t="shared" ref="E19:E26" si="1">SUM(F19:G19)</f>
        <v>5605.5</v>
      </c>
      <c r="F19" s="2793">
        <f>'数据-基础表'!I13</f>
        <v>5605.5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5605.5</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5605.5</v>
      </c>
      <c r="F27" s="1140">
        <f>IF(SUM(F19:F26)=E8,SUM(F19:F26),"地上面积有误")</f>
        <v>5605.5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5605.5</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5605.5</v>
      </c>
      <c r="F31" s="677">
        <f>F27+F30</f>
        <v>5605.5</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L24" sqref="AL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57654</v>
      </c>
      <c r="F6" s="64">
        <f>SUMIF(项目基本情况!C$12:I$12,C6,项目基本情况!C$15:I$15)</f>
        <v>34.51</v>
      </c>
      <c r="G6" s="65">
        <f>IF(ISERROR(ROUND(POWER(1+H6,D6-F6)*(POWER(1+H6,F6)-1)/(POWER(1+H6,D6)-1),3)),0,ROUND(POWER(1+H6,D6-F6)*(POWER(1+H6,F6)-1)/(POWER(1+H6,D6)-1),3))</f>
        <v>0.878</v>
      </c>
      <c r="H6" s="732">
        <v>4.4999999999999998E-2</v>
      </c>
      <c r="I6" s="732">
        <v>0.05</v>
      </c>
      <c r="J6" s="66">
        <v>5.5E-2</v>
      </c>
      <c r="K6" s="1030">
        <f>SUMIF('数据-汇总表'!C$19:C$33,A6,'数据-汇总表'!E$19:E$33)</f>
        <v>5605.5</v>
      </c>
      <c r="L6" s="733">
        <v>3000</v>
      </c>
      <c r="M6" s="67">
        <f t="shared" ref="M6:M14" si="0">ROUND(K6*L6/10000,0)</f>
        <v>1682</v>
      </c>
      <c r="N6" s="731">
        <f>N22</f>
        <v>0.78</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6">
        <f>'比较法-工业租金'!C42</f>
        <v>2</v>
      </c>
      <c r="V6" s="70">
        <v>0.03</v>
      </c>
      <c r="W6" s="70">
        <v>0.1</v>
      </c>
      <c r="X6" s="1040"/>
      <c r="Y6" s="71">
        <f>N6</f>
        <v>0.78</v>
      </c>
      <c r="Z6" s="72"/>
      <c r="AA6" s="66"/>
      <c r="AB6" s="66"/>
      <c r="AC6" s="1040"/>
      <c r="AD6" s="73"/>
      <c r="AE6" s="1041">
        <f ca="1">IF(AN6="",0,SUMIF(INDIRECT("'"&amp;AN6&amp;"'"&amp;"!E:E"),$AE$5,INDIRECT("'"&amp;AN6&amp;"'"&amp;"!F:F")))</f>
        <v>34.51</v>
      </c>
      <c r="AF6" s="1348"/>
      <c r="AG6" s="138">
        <f>IF(AF6="",0,AE6-AF6)</f>
        <v>0</v>
      </c>
      <c r="AH6" s="74"/>
      <c r="AI6" s="76">
        <v>365</v>
      </c>
      <c r="AJ6" s="77"/>
      <c r="AK6" s="78">
        <v>0.01</v>
      </c>
      <c r="AL6" s="79">
        <v>1E-3</v>
      </c>
      <c r="AM6" s="80">
        <v>0.01</v>
      </c>
      <c r="AN6" s="1715" t="s">
        <v>3385</v>
      </c>
      <c r="AO6" s="52">
        <f ca="1">SUMIF(INDIRECT("'"&amp;AN6&amp;"'"&amp;"!A:A"),"总价",INDIRECT("'"&amp;AN6&amp;"'"&amp;"!B:B"))</f>
        <v>6769.3672999999999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0.878</v>
      </c>
      <c r="H16" s="90">
        <f>ROUND(SUMPRODUCT(H6:H13,K6:K13)/SUMPRODUCT((H6:H13&gt;0)*(K6:K13)),3)</f>
        <v>4.4999999999999998E-2</v>
      </c>
      <c r="I16" s="91"/>
      <c r="J16" s="91"/>
      <c r="K16" s="92">
        <f>SUM(K6:K15)</f>
        <v>5605.5</v>
      </c>
      <c r="L16" s="93">
        <f>ROUND(M16*10000/SUM(K6:K14),0)</f>
        <v>3001</v>
      </c>
      <c r="M16" s="93">
        <f>SUM(M6:M14)</f>
        <v>1682</v>
      </c>
      <c r="N16" s="94">
        <f>ROUND(SUMPRODUCT(M6:M14,N6:N14)/M16,3)</f>
        <v>0.78</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2301</v>
      </c>
      <c r="D20" s="2674"/>
      <c r="E20" s="2671"/>
      <c r="F20" s="2671"/>
      <c r="G20" s="2671"/>
      <c r="H20" s="2671"/>
      <c r="I20" s="2671"/>
      <c r="J20" s="2671"/>
      <c r="K20" s="2670"/>
      <c r="L20" s="2670"/>
      <c r="M20" s="2669">
        <v>2010</v>
      </c>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1</v>
      </c>
      <c r="C21" s="2671"/>
      <c r="D21" s="2674"/>
      <c r="E21" s="2671"/>
      <c r="F21" s="2671"/>
      <c r="G21" s="2671"/>
      <c r="H21" s="2671"/>
      <c r="I21" s="2671"/>
      <c r="J21" s="2671"/>
      <c r="K21" s="2670"/>
      <c r="L21" s="2670"/>
      <c r="M21" s="2669">
        <f>1-(2023-M20)/60</f>
        <v>0.78333333333333333</v>
      </c>
      <c r="N21" s="2669"/>
      <c r="O21" s="2669"/>
      <c r="P21" s="2669"/>
      <c r="Q21" s="2669"/>
      <c r="R21" s="2669"/>
      <c r="S21" s="2669"/>
      <c r="T21" s="2669">
        <f>2*V6</f>
        <v>0.06</v>
      </c>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c r="J22" s="2671"/>
      <c r="K22" s="2670"/>
      <c r="L22" s="2670"/>
      <c r="M22" s="2669"/>
      <c r="N22" s="3602">
        <f>ROUND(AVERAGE(M21:M22),2)</f>
        <v>0.78</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150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190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190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190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3386</v>
      </c>
      <c r="B40" s="1078">
        <f ca="1">IF(A40="利息：取LPR",存贷款利率!G1,存贷款利率!G1+C40)</f>
        <v>4.3499999999999997E-2</v>
      </c>
      <c r="C40" s="2812">
        <v>7.0000000000000001E-3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D3" activePane="bottomRight" state="frozen"/>
      <selection activeCell="C50" sqref="C50"/>
      <selection pane="topRight" activeCell="C50" sqref="C50"/>
      <selection pane="bottomLeft" activeCell="C50" sqref="C50"/>
      <selection pane="bottomRight" activeCell="G3" sqref="G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723" t="s">
        <v>2284</v>
      </c>
      <c r="B1" s="3724"/>
      <c r="C1" s="3724"/>
      <c r="D1" s="3724"/>
      <c r="E1" s="3724"/>
      <c r="F1" s="3724"/>
      <c r="G1" s="372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2252</v>
      </c>
      <c r="C3" s="2464" t="s">
        <v>2283</v>
      </c>
      <c r="D3" s="2465"/>
      <c r="E3" s="2442" t="s">
        <v>2282</v>
      </c>
      <c r="F3" s="2466" t="s">
        <v>2253</v>
      </c>
      <c r="G3" s="3608" t="s">
        <v>3858</v>
      </c>
      <c r="H3" s="799"/>
      <c r="I3" s="799"/>
      <c r="J3" s="799"/>
      <c r="K3" s="799"/>
      <c r="L3" s="799"/>
      <c r="M3" s="799"/>
      <c r="N3" s="799"/>
      <c r="O3" s="799"/>
      <c r="P3" s="799"/>
      <c r="Q3" s="799"/>
      <c r="R3" s="799"/>
    </row>
    <row r="4" spans="1:29" ht="60">
      <c r="A4" s="2442"/>
      <c r="B4" s="323" t="s">
        <v>2254</v>
      </c>
      <c r="C4" s="2467" t="s">
        <v>2255</v>
      </c>
      <c r="D4" s="2465"/>
      <c r="E4" s="2468"/>
      <c r="F4" s="1373" t="s">
        <v>2256</v>
      </c>
      <c r="G4" s="3609" t="s">
        <v>3850</v>
      </c>
      <c r="H4" s="799"/>
      <c r="I4" s="799"/>
      <c r="J4" s="799"/>
      <c r="K4" s="799"/>
      <c r="L4" s="799"/>
      <c r="M4" s="799"/>
      <c r="N4" s="799"/>
      <c r="O4" s="799"/>
      <c r="P4" s="799"/>
      <c r="Q4" s="799"/>
      <c r="R4" s="799"/>
    </row>
    <row r="5" spans="1:29" ht="120">
      <c r="A5" s="2442"/>
      <c r="B5" s="323" t="s">
        <v>2258</v>
      </c>
      <c r="C5" s="2467" t="s">
        <v>2259</v>
      </c>
      <c r="D5" s="2465"/>
      <c r="E5" s="2468"/>
      <c r="F5" s="323" t="s">
        <v>2260</v>
      </c>
      <c r="G5" s="3609" t="s">
        <v>3828</v>
      </c>
      <c r="H5" s="799"/>
      <c r="I5" s="799"/>
      <c r="J5" s="799"/>
      <c r="K5" s="799"/>
      <c r="L5" s="799"/>
      <c r="M5" s="799"/>
      <c r="N5" s="799"/>
      <c r="O5" s="799"/>
      <c r="P5" s="799"/>
      <c r="Q5" s="799"/>
      <c r="R5" s="799"/>
    </row>
    <row r="6" spans="1:29" ht="36">
      <c r="A6" s="2442"/>
      <c r="B6" s="323" t="s">
        <v>2262</v>
      </c>
      <c r="C6" s="2469" t="s">
        <v>2257</v>
      </c>
      <c r="D6" s="2465"/>
      <c r="E6" s="2468"/>
      <c r="F6" s="323" t="s">
        <v>2263</v>
      </c>
      <c r="G6" s="3609" t="s">
        <v>3829</v>
      </c>
      <c r="H6" s="799"/>
      <c r="I6" s="799"/>
      <c r="J6" s="799"/>
      <c r="K6" s="799"/>
      <c r="L6" s="799"/>
      <c r="M6" s="799"/>
      <c r="N6" s="799"/>
      <c r="O6" s="799"/>
      <c r="P6" s="799"/>
      <c r="Q6" s="799"/>
      <c r="R6" s="799"/>
    </row>
    <row r="7" spans="1:29" ht="36.75" thickBot="1">
      <c r="A7" s="2442"/>
      <c r="B7" s="323" t="s">
        <v>2260</v>
      </c>
      <c r="C7" s="2469" t="s">
        <v>2261</v>
      </c>
      <c r="D7" s="2470"/>
      <c r="E7" s="2471"/>
      <c r="F7" s="2472" t="s">
        <v>2265</v>
      </c>
      <c r="G7" s="3610" t="s">
        <v>3830</v>
      </c>
      <c r="H7" s="799"/>
      <c r="I7" s="799"/>
      <c r="J7" s="799"/>
      <c r="K7" s="799"/>
      <c r="L7" s="799"/>
      <c r="M7" s="799"/>
      <c r="N7" s="799"/>
      <c r="O7" s="799"/>
      <c r="P7" s="799"/>
      <c r="Q7" s="799"/>
      <c r="R7" s="799"/>
    </row>
    <row r="8" spans="1:29">
      <c r="A8" s="2442"/>
      <c r="B8" s="323" t="s">
        <v>2263</v>
      </c>
      <c r="C8" s="2469" t="s">
        <v>2264</v>
      </c>
      <c r="D8" s="2470"/>
      <c r="E8" s="2470"/>
      <c r="F8" s="2473"/>
      <c r="G8" s="2473"/>
      <c r="H8" s="799"/>
      <c r="I8" s="799"/>
      <c r="J8" s="799"/>
      <c r="K8" s="799"/>
      <c r="L8" s="799"/>
      <c r="M8" s="799"/>
      <c r="N8" s="799"/>
      <c r="O8" s="799"/>
      <c r="P8" s="799"/>
      <c r="Q8" s="799"/>
      <c r="R8" s="799"/>
    </row>
    <row r="9" spans="1:29" ht="24">
      <c r="A9" s="2442"/>
      <c r="B9" s="323" t="s">
        <v>2266</v>
      </c>
      <c r="C9" s="2467" t="s">
        <v>2267</v>
      </c>
      <c r="D9" s="2465"/>
      <c r="E9" s="2470"/>
      <c r="F9" s="2473"/>
      <c r="G9" s="2473"/>
      <c r="H9" s="799"/>
      <c r="I9" s="799"/>
      <c r="J9" s="799"/>
      <c r="K9" s="799"/>
      <c r="L9" s="799"/>
      <c r="M9" s="799"/>
      <c r="N9" s="799"/>
      <c r="O9" s="799"/>
      <c r="P9" s="799"/>
      <c r="Q9" s="799"/>
      <c r="R9" s="799"/>
    </row>
    <row r="10" spans="1:29" s="2479" customFormat="1" ht="15" thickBot="1">
      <c r="A10" s="2443"/>
      <c r="B10" s="2474" t="s">
        <v>2268</v>
      </c>
      <c r="C10" s="2475"/>
      <c r="D10" s="2465"/>
      <c r="E10" s="2465"/>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5"/>
      <c r="D11" s="2465"/>
      <c r="E11" s="2465"/>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5"/>
      <c r="D12" s="2482"/>
      <c r="E12" s="2465"/>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5"/>
      <c r="E14" s="2494"/>
      <c r="F14" s="2494"/>
      <c r="G14" s="2460" t="s">
        <v>2270</v>
      </c>
    </row>
    <row r="15" spans="1:29" ht="51">
      <c r="A15" s="2444" t="s">
        <v>2271</v>
      </c>
      <c r="B15" s="2495" t="s">
        <v>2252</v>
      </c>
      <c r="C15" s="2496" t="str">
        <f>C3</f>
        <v>估价对象周边居住用地比例、居住小区规模和社区发展完善程度，综合评价居住社区成熟度一般</v>
      </c>
      <c r="D15" s="2465"/>
      <c r="E15" s="2445" t="s">
        <v>2272</v>
      </c>
      <c r="F15" s="2495" t="s">
        <v>2273</v>
      </c>
      <c r="G15" s="2497" t="str">
        <f>G3</f>
        <v>估价对象位于亦庄开发区，周边有瑞森国际大厦、易城时代广场、嘉捷BOX企业汇、亦庄生物医药园，园区建设成熟度较好，产业集聚程度较好</v>
      </c>
    </row>
    <row r="16" spans="1:29" ht="63.75">
      <c r="A16" s="2446"/>
      <c r="B16" s="2498" t="s">
        <v>2254</v>
      </c>
      <c r="C16" s="2499" t="str">
        <f>C4</f>
        <v>估价对象位于XX商圈，周边商业氛围成熟，人流量大，商业繁华度好</v>
      </c>
      <c r="D16" s="2465"/>
      <c r="E16" s="2447"/>
      <c r="F16" s="2500" t="s">
        <v>2256</v>
      </c>
      <c r="G16" s="2501" t="str">
        <f>G4</f>
        <v>估价对象距离亦庄T1线定海园西站约1.5公里，距离京沪高速约1.2公里；周边有兴58路、兴78路、专185路等公交线路途径并设立站点，综合评价交通便捷度较好。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38.25">
      <c r="A18" s="2446"/>
      <c r="B18" s="2500" t="s">
        <v>2262</v>
      </c>
      <c r="C18" s="2501" t="str">
        <f>C6</f>
        <v>估价对象周边道路状况、公共交通通达情况、停车便捷程度，综合评价交通便捷度较好</v>
      </c>
      <c r="D18" s="2470"/>
      <c r="E18" s="2447"/>
      <c r="F18" s="2500" t="s">
        <v>2265</v>
      </c>
      <c r="G18" s="2501" t="str">
        <f>G7</f>
        <v>该园区内无污染型企业，绿化情况一般，卫生条件一般，整体环境状况一般</v>
      </c>
    </row>
    <row r="19" spans="1:18" ht="127.5">
      <c r="A19" s="2446"/>
      <c r="B19" s="2500" t="s">
        <v>2275</v>
      </c>
      <c r="C19" s="2502"/>
      <c r="D19" s="2465"/>
      <c r="E19" s="2447"/>
      <c r="F19" s="323" t="s">
        <v>2260</v>
      </c>
      <c r="G19" s="2501" t="str">
        <f>G5</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row>
    <row r="20" spans="1:18" ht="25.5">
      <c r="A20" s="2446"/>
      <c r="B20" s="2500" t="s">
        <v>2276</v>
      </c>
      <c r="C20" s="2499" t="str">
        <f>C9</f>
        <v>区域自然环境：；人文环境；综合评价环境状况一般</v>
      </c>
      <c r="D20" s="2470"/>
      <c r="E20" s="2447"/>
      <c r="F20" s="323" t="s">
        <v>2263</v>
      </c>
      <c r="G20" s="2501" t="str">
        <f>G6</f>
        <v>估价对象所在区域基础设施水平-五通</v>
      </c>
    </row>
    <row r="21" spans="1:18" ht="25.5">
      <c r="A21" s="2446"/>
      <c r="B21" s="323" t="s">
        <v>2260</v>
      </c>
      <c r="C21" s="2501" t="str">
        <f>C7</f>
        <v>估价对象所在区域公共配套设施齐备情况</v>
      </c>
      <c r="D21" s="2465"/>
      <c r="E21" s="2447"/>
      <c r="F21" s="2500" t="s">
        <v>2277</v>
      </c>
      <c r="G21" s="2503"/>
    </row>
    <row r="22" spans="1:18" ht="13.5" customHeight="1">
      <c r="A22" s="2446"/>
      <c r="B22" s="323" t="s">
        <v>2263</v>
      </c>
      <c r="C22" s="2501" t="str">
        <f>C8</f>
        <v>估价对象所在区域基础设施水平</v>
      </c>
      <c r="D22" s="2465"/>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5605.5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45056</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7528</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5605.5</v>
      </c>
      <c r="C14" s="2516"/>
      <c r="D14" s="2516">
        <f ca="1">ROUND(E14*B14/10000,0)</f>
        <v>7528</v>
      </c>
      <c r="E14" s="2516">
        <f ca="1">结果表!G20</f>
        <v>13429</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F25" sqref="F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92" t="str">
        <f>项目基本情况!S2</f>
        <v>北京市房地产</v>
      </c>
      <c r="B2" s="3793"/>
      <c r="C2" s="3793"/>
      <c r="D2" s="3793"/>
      <c r="E2" s="3793"/>
      <c r="F2" s="3793"/>
      <c r="G2" s="3793"/>
      <c r="H2" s="3793"/>
      <c r="I2" s="3794"/>
    </row>
    <row r="3" spans="1:12" ht="12.75">
      <c r="A3" s="3796" t="s">
        <v>1264</v>
      </c>
      <c r="B3" s="3797"/>
      <c r="C3" s="3797"/>
      <c r="D3" s="3797"/>
      <c r="E3" s="3797"/>
      <c r="F3" s="3797"/>
      <c r="G3" s="3797"/>
      <c r="H3" s="3797"/>
      <c r="I3" s="3797"/>
    </row>
    <row r="4" spans="1:12" ht="14.25">
      <c r="A4" s="1754" t="s">
        <v>1265</v>
      </c>
      <c r="B4" s="1755" t="s">
        <v>1266</v>
      </c>
      <c r="C4" s="1756" t="s">
        <v>3814</v>
      </c>
      <c r="D4" s="1756" t="s">
        <v>3396</v>
      </c>
      <c r="E4" s="3801" t="s">
        <v>1267</v>
      </c>
      <c r="F4" s="3802"/>
      <c r="G4" s="3802"/>
      <c r="H4" s="3802"/>
      <c r="I4" s="380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40" t="s">
        <v>1268</v>
      </c>
      <c r="B5" s="3795">
        <v>25</v>
      </c>
      <c r="C5" s="3798"/>
      <c r="D5" s="3786"/>
      <c r="E5" s="131" t="s">
        <v>1269</v>
      </c>
      <c r="F5" s="1757"/>
      <c r="G5" s="1757"/>
      <c r="H5" s="1757"/>
      <c r="I5" s="1373"/>
    </row>
    <row r="6" spans="1:12" ht="12.75">
      <c r="A6" s="3740"/>
      <c r="B6" s="3795"/>
      <c r="C6" s="3800"/>
      <c r="D6" s="3786"/>
      <c r="E6" s="131" t="s">
        <v>1270</v>
      </c>
      <c r="F6" s="1757"/>
      <c r="G6" s="1757"/>
      <c r="H6" s="1757"/>
      <c r="I6" s="1373"/>
    </row>
    <row r="7" spans="1:12" ht="12.75">
      <c r="A7" s="3740"/>
      <c r="B7" s="3795"/>
      <c r="C7" s="3799"/>
      <c r="D7" s="3786"/>
      <c r="E7" s="131" t="s">
        <v>1271</v>
      </c>
      <c r="F7" s="1757"/>
      <c r="G7" s="1757"/>
      <c r="H7" s="1757"/>
      <c r="I7" s="1373"/>
    </row>
    <row r="8" spans="1:12" ht="12.75">
      <c r="A8" s="3740" t="s">
        <v>1272</v>
      </c>
      <c r="B8" s="3795">
        <v>15</v>
      </c>
      <c r="C8" s="3798"/>
      <c r="D8" s="3786"/>
      <c r="E8" s="131" t="s">
        <v>1273</v>
      </c>
      <c r="F8" s="1757"/>
      <c r="G8" s="1757"/>
      <c r="H8" s="1757"/>
      <c r="I8" s="1373"/>
    </row>
    <row r="9" spans="1:12" ht="12.75">
      <c r="A9" s="3740"/>
      <c r="B9" s="3795"/>
      <c r="C9" s="3799"/>
      <c r="D9" s="3786"/>
      <c r="E9" s="131" t="s">
        <v>1274</v>
      </c>
      <c r="F9" s="1757"/>
      <c r="G9" s="1757"/>
      <c r="H9" s="1757"/>
      <c r="I9" s="1373"/>
    </row>
    <row r="10" spans="1:12" ht="12.75">
      <c r="A10" s="3740" t="s">
        <v>1275</v>
      </c>
      <c r="B10" s="3795">
        <v>15</v>
      </c>
      <c r="C10" s="3798"/>
      <c r="D10" s="3786"/>
      <c r="E10" s="131" t="s">
        <v>1276</v>
      </c>
      <c r="F10" s="1757"/>
      <c r="G10" s="1757"/>
      <c r="H10" s="1757"/>
      <c r="I10" s="1373"/>
    </row>
    <row r="11" spans="1:12" ht="12.75">
      <c r="A11" s="3740"/>
      <c r="B11" s="3795"/>
      <c r="C11" s="3799"/>
      <c r="D11" s="3786"/>
      <c r="E11" s="131" t="s">
        <v>1277</v>
      </c>
      <c r="F11" s="1757"/>
      <c r="G11" s="1757"/>
      <c r="H11" s="1757"/>
      <c r="I11" s="1373"/>
    </row>
    <row r="12" spans="1:12" ht="12.75">
      <c r="A12" s="3740" t="s">
        <v>1278</v>
      </c>
      <c r="B12" s="3795">
        <v>15</v>
      </c>
      <c r="C12" s="3798"/>
      <c r="D12" s="3786"/>
      <c r="E12" s="131" t="s">
        <v>1279</v>
      </c>
      <c r="F12" s="1757"/>
      <c r="G12" s="1757"/>
      <c r="H12" s="1757"/>
      <c r="I12" s="1373"/>
    </row>
    <row r="13" spans="1:12" ht="12.75">
      <c r="A13" s="3740"/>
      <c r="B13" s="3795"/>
      <c r="C13" s="3799"/>
      <c r="D13" s="3786"/>
      <c r="E13" s="131" t="s">
        <v>1280</v>
      </c>
      <c r="F13" s="1757"/>
      <c r="G13" s="1757"/>
      <c r="H13" s="1757"/>
      <c r="I13" s="1373"/>
    </row>
    <row r="14" spans="1:12" ht="12.75">
      <c r="A14" s="3740" t="s">
        <v>1281</v>
      </c>
      <c r="B14" s="3795">
        <v>30</v>
      </c>
      <c r="C14" s="3798">
        <v>5</v>
      </c>
      <c r="D14" s="3786">
        <f>10-C14</f>
        <v>5</v>
      </c>
      <c r="E14" s="131" t="s">
        <v>1282</v>
      </c>
      <c r="F14" s="1757"/>
      <c r="G14" s="1757"/>
      <c r="H14" s="1757"/>
      <c r="I14" s="1373"/>
    </row>
    <row r="15" spans="1:12" ht="12.75">
      <c r="A15" s="3740"/>
      <c r="B15" s="3795"/>
      <c r="C15" s="3800"/>
      <c r="D15" s="3786"/>
      <c r="E15" s="131" t="s">
        <v>1283</v>
      </c>
      <c r="F15" s="1757"/>
      <c r="G15" s="1757"/>
      <c r="H15" s="1757"/>
      <c r="I15" s="1373"/>
    </row>
    <row r="16" spans="1:12" ht="12.75">
      <c r="A16" s="3740"/>
      <c r="B16" s="3795"/>
      <c r="C16" s="3799"/>
      <c r="D16" s="378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817" t="s">
        <v>2131</v>
      </c>
      <c r="F18" s="3818"/>
      <c r="G18" s="3818"/>
      <c r="H18" s="3818"/>
      <c r="I18" s="3818"/>
      <c r="K18" s="302" t="s">
        <v>1289</v>
      </c>
      <c r="L18" s="302">
        <f>IF(C1="",'数据-汇总表'!E3,SUMIF(项目类型,C1,'数据-汇总表'!E17:E26)+SUMIF(项目类型,C1,'数据-汇总表'!I17:I26))</f>
        <v>5605.5</v>
      </c>
      <c r="M18" s="302">
        <f>IF(C1="",'数据-汇总表'!E3,SUMIF(项目类型,C1,'数据-汇总表'!E17:E26))</f>
        <v>5605.5</v>
      </c>
    </row>
    <row r="19" spans="1:36" ht="15">
      <c r="A19" s="1761" t="s">
        <v>1290</v>
      </c>
      <c r="B19" s="1762" t="s">
        <v>1291</v>
      </c>
      <c r="C19" s="134">
        <f ca="1">SUMIF(INDIRECT("'"&amp;C4&amp;"'"&amp;"!A:A"),结果表!B19,INDIRECT("'"&amp;C4&amp;"'"&amp;"!B:B"))</f>
        <v>8180</v>
      </c>
      <c r="D19" s="135">
        <f ca="1">SUMIF(INDIRECT("'"&amp;D4&amp;"'"&amp;"!A:A"),结果表!B19,INDIRECT("'"&amp;D4&amp;"'"&amp;"!B:B"))</f>
        <v>6875</v>
      </c>
      <c r="E19" s="1761" t="s">
        <v>1292</v>
      </c>
      <c r="F19" s="1762" t="s">
        <v>1291</v>
      </c>
      <c r="G19" s="136">
        <f ca="1">ROUND(C19*$C$18+D19*$D$18,0)</f>
        <v>7528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14592</v>
      </c>
      <c r="D20" s="138">
        <f ca="1">SUMIF(INDIRECT("'"&amp;D4&amp;"'"&amp;"!A:A"),结果表!B20,INDIRECT("'"&amp;D4&amp;"'"&amp;"!B:B"))</f>
        <v>12265</v>
      </c>
      <c r="E20" s="1764"/>
      <c r="F20" s="1026" t="s">
        <v>1295</v>
      </c>
      <c r="G20" s="139">
        <f ca="1">ROUND(C20*$C$18+D20*$D$18,0)</f>
        <v>13429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0.18981818181818189</v>
      </c>
      <c r="E22" s="129"/>
      <c r="F22" s="129"/>
      <c r="G22" s="129"/>
      <c r="H22" s="129"/>
      <c r="I22" s="129"/>
    </row>
    <row r="23" spans="1:36" ht="13.5" thickBot="1">
      <c r="A23" s="1747"/>
      <c r="B23" s="1747"/>
      <c r="C23" s="1747"/>
      <c r="D23" s="1747"/>
      <c r="E23" s="129"/>
      <c r="F23" s="129"/>
      <c r="G23" s="129"/>
      <c r="H23" s="129"/>
      <c r="I23" s="129"/>
    </row>
    <row r="24" spans="1:36" ht="14.25">
      <c r="A24" s="3810" t="s">
        <v>1299</v>
      </c>
      <c r="B24" s="1762" t="s">
        <v>1291</v>
      </c>
      <c r="C24" s="136">
        <f>IF(B30=0,0,D30)</f>
        <v>0</v>
      </c>
      <c r="D24" s="1769"/>
      <c r="E24" s="129"/>
      <c r="F24" s="129">
        <f ca="1">ROUND(G20*5605.5/10000,0)</f>
        <v>7528</v>
      </c>
      <c r="G24" s="129"/>
      <c r="H24" s="129"/>
      <c r="I24" s="129"/>
    </row>
    <row r="25" spans="1:36" ht="14.25">
      <c r="A25" s="381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13429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87" t="s">
        <v>1312</v>
      </c>
      <c r="B36" s="1787" t="s">
        <v>1313</v>
      </c>
      <c r="C36" s="145"/>
      <c r="D36" s="1788"/>
      <c r="E36" s="1789"/>
      <c r="F36" s="1790"/>
      <c r="G36" s="129"/>
      <c r="H36" s="129"/>
      <c r="I36" s="129"/>
    </row>
    <row r="37" spans="1:15" ht="15.75" thickBot="1">
      <c r="A37" s="3788"/>
      <c r="B37" s="1674" t="s">
        <v>1314</v>
      </c>
      <c r="C37" s="147"/>
      <c r="D37" s="1139"/>
      <c r="E37" s="1139"/>
      <c r="F37" s="1790"/>
      <c r="G37" s="129"/>
      <c r="H37" s="129"/>
      <c r="I37" s="129"/>
    </row>
    <row r="38" spans="1:15" ht="15.75" thickBot="1">
      <c r="A38" s="378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807" t="s">
        <v>1326</v>
      </c>
      <c r="B45" s="3808"/>
      <c r="C45" s="3809"/>
      <c r="D45" s="155" t="e">
        <f ca="1">ROUND(H101*F45,0)</f>
        <v>#REF!</v>
      </c>
      <c r="E45" s="156" t="s">
        <v>1327</v>
      </c>
      <c r="F45" s="157">
        <v>1</v>
      </c>
      <c r="G45" s="158" t="s">
        <v>1328</v>
      </c>
      <c r="H45" s="129"/>
      <c r="I45" s="129"/>
      <c r="J45" s="3727" t="s">
        <v>1329</v>
      </c>
      <c r="K45" s="3727"/>
      <c r="L45" s="3727"/>
      <c r="M45" s="3727"/>
      <c r="N45" s="3727"/>
      <c r="O45" s="3727"/>
    </row>
    <row r="46" spans="1:15" ht="14.25" customHeight="1">
      <c r="A46" s="3804" t="s">
        <v>1330</v>
      </c>
      <c r="B46" s="3805"/>
      <c r="C46" s="3805"/>
      <c r="D46" s="3805"/>
      <c r="E46" s="3805"/>
      <c r="F46" s="3805"/>
      <c r="G46" s="3806"/>
      <c r="H46" s="1806"/>
      <c r="I46" s="159"/>
      <c r="J46" s="2521">
        <v>1</v>
      </c>
      <c r="K46" s="3728" t="s">
        <v>1331</v>
      </c>
      <c r="L46" s="3728"/>
      <c r="M46" s="3729"/>
      <c r="N46" s="3729"/>
      <c r="O46" s="3729"/>
    </row>
    <row r="47" spans="1:15" ht="12" customHeight="1">
      <c r="A47" s="160" t="s">
        <v>1332</v>
      </c>
      <c r="B47" s="161"/>
      <c r="C47" s="162"/>
      <c r="D47" s="1087" t="s">
        <v>1333</v>
      </c>
      <c r="E47" s="302" t="s">
        <v>1334</v>
      </c>
      <c r="F47" s="163" t="s">
        <v>1335</v>
      </c>
      <c r="G47" s="2544" t="s">
        <v>1336</v>
      </c>
      <c r="H47" s="2545"/>
      <c r="I47" s="159"/>
      <c r="J47" s="2521">
        <v>2</v>
      </c>
      <c r="K47" s="3728" t="s">
        <v>1337</v>
      </c>
      <c r="L47" s="3728"/>
      <c r="M47" s="3730">
        <f>'数据-取费表'!B2</f>
        <v>45056</v>
      </c>
      <c r="N47" s="3730"/>
      <c r="O47" s="3730"/>
    </row>
    <row r="48" spans="1:15" ht="25.5">
      <c r="A48" s="3790" t="s">
        <v>1338</v>
      </c>
      <c r="B48" s="3791"/>
      <c r="C48" s="3791"/>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728" t="s">
        <v>1340</v>
      </c>
      <c r="L48" s="3728"/>
      <c r="M48" s="3731" t="e">
        <f ca="1">H101</f>
        <v>#REF!</v>
      </c>
      <c r="N48" s="3731"/>
      <c r="O48" s="3731"/>
    </row>
    <row r="49" spans="1:35" ht="25.5" customHeight="1">
      <c r="A49" s="2333" t="s">
        <v>1341</v>
      </c>
      <c r="B49" s="3776" t="s">
        <v>1342</v>
      </c>
      <c r="C49" s="3776"/>
      <c r="D49" s="1590">
        <v>0</v>
      </c>
      <c r="E49" s="324" t="s">
        <v>1343</v>
      </c>
      <c r="F49" s="2424" t="s">
        <v>28</v>
      </c>
      <c r="G49" s="3759"/>
      <c r="H49" s="2310" t="s">
        <v>2134</v>
      </c>
      <c r="I49" s="2311"/>
      <c r="J49" s="2521">
        <v>4</v>
      </c>
      <c r="K49" s="3728" t="str">
        <f>IF(项目基本情况!E8="房地产抵押价值","房地产抵押价值","抵押担保权已注销时的房地产抵押价值")</f>
        <v>抵押担保权已注销时的房地产抵押价值</v>
      </c>
      <c r="L49" s="3728"/>
      <c r="M49" s="3731" t="str">
        <f>IF(项目基本情况!E8="房地产抵押价值",H107,H109)</f>
        <v>——</v>
      </c>
      <c r="N49" s="3731"/>
      <c r="O49" s="3731"/>
    </row>
    <row r="50" spans="1:35" ht="25.5" customHeight="1">
      <c r="A50" s="2549"/>
      <c r="B50" s="3776" t="s">
        <v>1344</v>
      </c>
      <c r="C50" s="3776"/>
      <c r="D50" s="2550"/>
      <c r="E50" s="332"/>
      <c r="F50" s="2424"/>
      <c r="G50" s="3760"/>
      <c r="H50" s="2312" t="s">
        <v>2135</v>
      </c>
      <c r="I50" s="2311"/>
      <c r="J50" s="3727" t="s">
        <v>1345</v>
      </c>
      <c r="K50" s="3727"/>
      <c r="L50" s="3727"/>
      <c r="M50" s="3727"/>
      <c r="N50" s="3727"/>
      <c r="O50" s="3727"/>
    </row>
    <row r="51" spans="1:35" ht="20.45" customHeight="1">
      <c r="A51" s="2551"/>
      <c r="B51" s="3776" t="s">
        <v>1346</v>
      </c>
      <c r="C51" s="3776"/>
      <c r="D51" s="1087"/>
      <c r="E51" s="327"/>
      <c r="F51" s="2424"/>
      <c r="G51" s="3761"/>
      <c r="H51" s="2312" t="s">
        <v>2136</v>
      </c>
      <c r="I51" s="2311"/>
      <c r="J51" s="2522" t="s">
        <v>1347</v>
      </c>
      <c r="K51" s="3728" t="s">
        <v>1348</v>
      </c>
      <c r="L51" s="3728"/>
      <c r="M51" s="2522" t="s">
        <v>1349</v>
      </c>
      <c r="N51" s="2522" t="s">
        <v>1350</v>
      </c>
      <c r="O51" s="2522" t="s">
        <v>1351</v>
      </c>
    </row>
    <row r="52" spans="1:35" ht="24" customHeight="1">
      <c r="A52" s="2335" t="s">
        <v>1352</v>
      </c>
      <c r="B52" s="3776" t="s">
        <v>1353</v>
      </c>
      <c r="C52" s="3776"/>
      <c r="D52" s="1087" t="e">
        <f ca="1">ROUND(D45*'数据-取费表'!B41/(1+'数据-取费表'!C42),0)</f>
        <v>#REF!</v>
      </c>
      <c r="E52" s="2334" t="s">
        <v>1354</v>
      </c>
      <c r="F52" s="2552">
        <f>'数据-取费表'!B41</f>
        <v>5.5000000000000007E-2</v>
      </c>
      <c r="G52" s="2553"/>
      <c r="H52" s="2542"/>
      <c r="I52" s="1807"/>
      <c r="J52" s="2521">
        <v>1</v>
      </c>
      <c r="K52" s="3753" t="s">
        <v>1355</v>
      </c>
      <c r="L52" s="3753"/>
      <c r="M52" s="2523" t="b">
        <f>D48</f>
        <v>0</v>
      </c>
      <c r="N52" s="2521" t="str">
        <f>E48</f>
        <v>销售额×税（费）率</v>
      </c>
      <c r="O52" s="2524">
        <f>F48</f>
        <v>5.5000000000000007E-2</v>
      </c>
    </row>
    <row r="53" spans="1:35" ht="12" customHeight="1">
      <c r="A53" s="2335" t="s">
        <v>1356</v>
      </c>
      <c r="B53" s="3777" t="s">
        <v>2289</v>
      </c>
      <c r="C53" s="3778"/>
      <c r="D53" s="1087" t="e">
        <f ca="1">ROUND(D45*'数据-取费表'!B41/(1+'数据-取费表'!C42),0)</f>
        <v>#REF!</v>
      </c>
      <c r="E53" s="2334" t="s">
        <v>1354</v>
      </c>
      <c r="F53" s="2552">
        <f>'数据-取费表'!B41</f>
        <v>5.5000000000000007E-2</v>
      </c>
      <c r="G53" s="2553"/>
      <c r="H53" s="2542"/>
      <c r="I53" s="1807"/>
      <c r="J53" s="2521">
        <v>2</v>
      </c>
      <c r="K53" s="3753" t="s">
        <v>1357</v>
      </c>
      <c r="L53" s="3753"/>
      <c r="M53" s="2523" t="e">
        <f t="shared" ref="M53:O54" ca="1" si="0">D55</f>
        <v>#REF!</v>
      </c>
      <c r="N53" s="2521" t="str">
        <f t="shared" si="0"/>
        <v>销售额×税（费）率</v>
      </c>
      <c r="O53" s="2524" t="str">
        <f t="shared" si="0"/>
        <v>免征</v>
      </c>
    </row>
    <row r="54" spans="1:35" ht="12" customHeight="1">
      <c r="A54" s="2335" t="s">
        <v>1358</v>
      </c>
      <c r="B54" s="3777" t="s">
        <v>2290</v>
      </c>
      <c r="C54" s="3778"/>
      <c r="D54" s="1087" t="e">
        <f ca="1">C68</f>
        <v>#REF!</v>
      </c>
      <c r="E54" s="327" t="s">
        <v>1359</v>
      </c>
      <c r="F54" s="2552">
        <f>'数据-取费表'!B41</f>
        <v>5.5000000000000007E-2</v>
      </c>
      <c r="G54" s="2553"/>
      <c r="H54" s="2554"/>
      <c r="I54" s="1807"/>
      <c r="J54" s="2521">
        <v>3</v>
      </c>
      <c r="K54" s="3753" t="s">
        <v>1360</v>
      </c>
      <c r="L54" s="3753"/>
      <c r="M54" s="2523" t="e">
        <f t="shared" ca="1" si="0"/>
        <v>#REF!</v>
      </c>
      <c r="N54" s="2521" t="str">
        <f t="shared" si="0"/>
        <v>增值额×税（费）率</v>
      </c>
      <c r="O54" s="2525" t="str">
        <f t="shared" si="0"/>
        <v>免征</v>
      </c>
    </row>
    <row r="55" spans="1:35" ht="24" customHeight="1">
      <c r="A55" s="3813" t="s">
        <v>1361</v>
      </c>
      <c r="B55" s="3791"/>
      <c r="C55" s="3791"/>
      <c r="D55" s="2324" t="e">
        <f ca="1">IF(H55="个人住宅",0,ROUND(D45*I55,0))</f>
        <v>#REF!</v>
      </c>
      <c r="E55" s="2334" t="s">
        <v>1362</v>
      </c>
      <c r="F55" s="2552" t="str">
        <f>IF(H55="正常",I55,"免征")</f>
        <v>免征</v>
      </c>
      <c r="G55" s="2553"/>
      <c r="H55" s="2548"/>
      <c r="I55" s="165">
        <f>'数据-取费表'!B49</f>
        <v>5.0000000000000001E-4</v>
      </c>
      <c r="J55" s="2521">
        <f>IF(H59="非个人房产","",4)</f>
        <v>4</v>
      </c>
      <c r="K55" s="3753" t="str">
        <f>IF(H59="非个人房产","——","个人所得税")</f>
        <v>个人所得税</v>
      </c>
      <c r="L55" s="3753"/>
      <c r="M55" s="2526" t="e">
        <f ca="1">D59</f>
        <v>#REF!</v>
      </c>
      <c r="N55" s="2040" t="str">
        <f>E59</f>
        <v>差额计税</v>
      </c>
      <c r="O55" s="2527">
        <f>F59</f>
        <v>0.01</v>
      </c>
    </row>
    <row r="56" spans="1:35" ht="24.75">
      <c r="A56" s="3813" t="s">
        <v>1363</v>
      </c>
      <c r="B56" s="3791"/>
      <c r="C56" s="3791"/>
      <c r="D56" s="2324" t="e">
        <f ca="1">IF(H56="个人住宅",D57,D58)</f>
        <v>#REF!</v>
      </c>
      <c r="E56" s="2334" t="s">
        <v>1364</v>
      </c>
      <c r="F56" s="2552" t="str">
        <f>IF(H56="正常",F58,"免征")</f>
        <v>免征</v>
      </c>
      <c r="G56" s="2555" t="s">
        <v>1365</v>
      </c>
      <c r="H56" s="2556"/>
      <c r="I56" s="1808"/>
      <c r="J56" s="2521" t="str">
        <f>IF(项目基本情况!K6="上海银行",IF(J55="",4,J55+1),"")</f>
        <v/>
      </c>
      <c r="K56" s="3734" t="str">
        <f>IF(项目基本情况!K6="上海银行","其他处置费用","")</f>
        <v/>
      </c>
      <c r="L56" s="3735"/>
      <c r="M56" s="2523" t="str">
        <f>IF(项目基本情况!K6="上海银行",M69,"")</f>
        <v/>
      </c>
      <c r="N56" s="3734" t="str">
        <f>IF(项目基本情况!K6="上海银行","包含处置中涉及的律师、诉讼、拍卖、评估等费用","")</f>
        <v/>
      </c>
      <c r="O56" s="3737"/>
    </row>
    <row r="57" spans="1:35" ht="12.75">
      <c r="A57" s="2335" t="s">
        <v>1341</v>
      </c>
      <c r="B57" s="3777" t="s">
        <v>1366</v>
      </c>
      <c r="C57" s="3778"/>
      <c r="D57" s="1590">
        <v>0</v>
      </c>
      <c r="E57" s="324" t="s">
        <v>1343</v>
      </c>
      <c r="F57" s="302"/>
      <c r="G57" s="2553"/>
      <c r="H57" s="2557"/>
      <c r="I57" s="1808"/>
      <c r="J57" s="3753">
        <f>IF(AND(J55="",J56=""),4,IF(项目基本情况!K6="上海银行",结果表!J56+1,结果表!J55+1))</f>
        <v>5</v>
      </c>
      <c r="K57" s="3753" t="s">
        <v>1367</v>
      </c>
      <c r="L57" s="2528" t="s">
        <v>1368</v>
      </c>
      <c r="M57" s="2529"/>
      <c r="N57" s="2530">
        <f ca="1">SUMIF(M52:M56,"&lt;9e307")</f>
        <v>0</v>
      </c>
      <c r="O57" s="2531"/>
      <c r="P57" s="2688" t="e">
        <f ca="1">N57/M49</f>
        <v>#VALUE!</v>
      </c>
    </row>
    <row r="58" spans="1:35" ht="24.75">
      <c r="A58" s="2335" t="s">
        <v>1352</v>
      </c>
      <c r="B58" s="3777" t="s">
        <v>1369</v>
      </c>
      <c r="C58" s="3776"/>
      <c r="D58" s="2324" t="e">
        <f ca="1">IF(H58="转让取得",C81,C97)</f>
        <v>#REF!</v>
      </c>
      <c r="E58" s="2334" t="s">
        <v>1364</v>
      </c>
      <c r="F58" s="302" t="s">
        <v>28</v>
      </c>
      <c r="G58" s="2553"/>
      <c r="H58" s="2556"/>
      <c r="I58" s="1808"/>
      <c r="J58" s="3753"/>
      <c r="K58" s="3753"/>
      <c r="L58" s="2528" t="s">
        <v>1370</v>
      </c>
      <c r="M58" s="2532"/>
      <c r="N58" s="2533" t="str">
        <f ca="1">NUMBERSTRING(INT(N57*10000),2)&amp;"元整"</f>
        <v>零元整</v>
      </c>
      <c r="O58" s="2534"/>
    </row>
    <row r="59" spans="1:35" ht="24.75" thickBot="1">
      <c r="A59" s="3757" t="s">
        <v>1371</v>
      </c>
      <c r="B59" s="3758"/>
      <c r="C59" s="3758"/>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755">
        <f>J57+1</f>
        <v>6</v>
      </c>
      <c r="K59" s="3753" t="s">
        <v>1372</v>
      </c>
      <c r="L59" s="2521" t="s">
        <v>1368</v>
      </c>
      <c r="M59" s="2535"/>
      <c r="N59" s="2536" t="e">
        <f ca="1">M49-N57</f>
        <v>#VALUE!</v>
      </c>
      <c r="O59" s="2537"/>
    </row>
    <row r="60" spans="1:35" ht="12" customHeight="1">
      <c r="A60" s="1809"/>
      <c r="B60" s="1747"/>
      <c r="C60" s="1747"/>
      <c r="D60" s="1747"/>
      <c r="E60" s="1578"/>
      <c r="F60" s="1808"/>
      <c r="G60" s="1808"/>
      <c r="H60" s="1810"/>
      <c r="I60" s="129"/>
      <c r="J60" s="3756"/>
      <c r="K60" s="3753"/>
      <c r="L60" s="2528" t="s">
        <v>1370</v>
      </c>
      <c r="M60" s="2532"/>
      <c r="N60" s="2533" t="e">
        <f ca="1">NUMBERSTRING(INT(N59*10000),2)&amp;"元整"</f>
        <v>#VALUE!</v>
      </c>
      <c r="O60" s="2534"/>
    </row>
    <row r="61" spans="1:35" ht="13.5" thickBot="1">
      <c r="A61" s="3812" t="s">
        <v>1373</v>
      </c>
      <c r="B61" s="3812"/>
      <c r="C61" s="3812"/>
      <c r="D61" s="3812"/>
      <c r="E61" s="3812"/>
      <c r="F61" s="1808"/>
      <c r="G61" s="1808"/>
      <c r="H61" s="1810"/>
      <c r="I61" s="129"/>
      <c r="J61" s="2521">
        <f>J59+1</f>
        <v>7</v>
      </c>
      <c r="K61" s="3753" t="s">
        <v>1374</v>
      </c>
      <c r="L61" s="3753"/>
      <c r="M61" s="2538"/>
      <c r="N61" s="2539" t="e">
        <f ca="1">ROUND(N59*10000/'数据-汇总表'!E3,0)</f>
        <v>#VALUE!</v>
      </c>
      <c r="O61" s="2540"/>
    </row>
    <row r="62" spans="1:35" ht="12.75">
      <c r="A62" s="3772" t="s">
        <v>1375</v>
      </c>
      <c r="B62" s="3773"/>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736"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73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736"/>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736"/>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73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736"/>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736"/>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80" t="s">
        <v>1394</v>
      </c>
      <c r="B70" s="3781"/>
      <c r="C70" s="3781"/>
      <c r="D70" s="3781"/>
      <c r="E70" s="3781"/>
      <c r="F70" s="3781"/>
      <c r="G70" s="3781"/>
      <c r="H70" s="3781"/>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72" t="s">
        <v>1375</v>
      </c>
      <c r="B71" s="3773"/>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777" t="s">
        <v>1402</v>
      </c>
      <c r="F76" s="3776"/>
      <c r="G76" s="3776"/>
      <c r="H76" s="377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769" t="s">
        <v>1406</v>
      </c>
      <c r="F78" s="3770"/>
      <c r="G78" s="3770"/>
      <c r="H78" s="377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80" t="s">
        <v>1410</v>
      </c>
      <c r="B83" s="3781"/>
      <c r="C83" s="3781"/>
      <c r="D83" s="3781"/>
      <c r="E83" s="3781"/>
      <c r="F83" s="3781"/>
      <c r="G83" s="3781"/>
      <c r="H83" s="378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72" t="s">
        <v>1375</v>
      </c>
      <c r="B84" s="377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738" t="s">
        <v>2129</v>
      </c>
      <c r="H90" s="3739"/>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769" t="s">
        <v>1419</v>
      </c>
      <c r="F91" s="3770"/>
      <c r="G91" s="377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769" t="s">
        <v>1422</v>
      </c>
      <c r="F92" s="3770"/>
      <c r="G92" s="3770"/>
      <c r="H92" s="3771"/>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769" t="s">
        <v>1406</v>
      </c>
      <c r="F93" s="3770"/>
      <c r="G93" s="3770"/>
      <c r="H93" s="377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814" t="s">
        <v>1426</v>
      </c>
      <c r="F94" s="3815"/>
      <c r="G94" s="3815"/>
      <c r="H94" s="381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19" t="s">
        <v>1428</v>
      </c>
      <c r="B100" s="3720"/>
      <c r="C100" s="3720"/>
      <c r="D100" s="3754"/>
      <c r="E100" s="3720" t="s">
        <v>1429</v>
      </c>
      <c r="F100" s="3720"/>
      <c r="G100" s="3720"/>
      <c r="H100" s="3754"/>
      <c r="I100" s="129"/>
    </row>
    <row r="101" spans="1:35" ht="18.75" customHeight="1">
      <c r="A101" s="3762" t="s">
        <v>1430</v>
      </c>
      <c r="B101" s="3763"/>
      <c r="C101" s="2583" t="str">
        <f>C4</f>
        <v>比较法-工业售价</v>
      </c>
      <c r="D101" s="2584" t="str">
        <f>D4</f>
        <v>收益法</v>
      </c>
      <c r="E101" s="3732" t="s">
        <v>1431</v>
      </c>
      <c r="F101" s="3733"/>
      <c r="G101" s="1827" t="s">
        <v>1432</v>
      </c>
      <c r="H101" s="2593" t="e">
        <f ca="1">H118</f>
        <v>#REF!</v>
      </c>
      <c r="I101" s="129"/>
    </row>
    <row r="102" spans="1:35" ht="18.75" customHeight="1">
      <c r="A102" s="3764" t="s">
        <v>1433</v>
      </c>
      <c r="B102" s="2582" t="s">
        <v>1432</v>
      </c>
      <c r="C102" s="2583">
        <f ca="1">IF(D32="楼面单价",ROUND(C19,0),C19)</f>
        <v>8180</v>
      </c>
      <c r="D102" s="2584">
        <f ca="1">IF(D32="楼面单价",ROUND(D19,0),D19)</f>
        <v>6875</v>
      </c>
      <c r="E102" s="3732"/>
      <c r="F102" s="3733"/>
      <c r="G102" s="1827" t="s">
        <v>1434</v>
      </c>
      <c r="H102" s="2553" t="e">
        <f ca="1">I118</f>
        <v>#REF!</v>
      </c>
      <c r="I102" s="129"/>
    </row>
    <row r="103" spans="1:35" ht="42.75" customHeight="1">
      <c r="A103" s="3764"/>
      <c r="B103" s="2582" t="s">
        <v>1434</v>
      </c>
      <c r="C103" s="2585">
        <f ca="1">C20</f>
        <v>14592</v>
      </c>
      <c r="D103" s="2586">
        <f ca="1">D20</f>
        <v>12265</v>
      </c>
      <c r="E103" s="3725" t="s">
        <v>1435</v>
      </c>
      <c r="F103" s="3726"/>
      <c r="G103" s="1828" t="s">
        <v>1436</v>
      </c>
      <c r="H103" s="2593">
        <f>IF(D36="正常操作",H104+H105+H106,H105+H106)</f>
        <v>0</v>
      </c>
      <c r="I103" s="129"/>
    </row>
    <row r="104" spans="1:35" ht="18.75" customHeight="1">
      <c r="A104" s="3764"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774"/>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765" t="str">
        <f>IF(项目基本情况!E8="已注销","——","3.房地产抵押价值")</f>
        <v>3.房地产抵押价值</v>
      </c>
      <c r="F107" s="3733"/>
      <c r="G107" s="1827" t="s">
        <v>1432</v>
      </c>
      <c r="H107" s="2593" t="e">
        <f ca="1">IF(E107="——","——",H101-H103)</f>
        <v>#REF!</v>
      </c>
      <c r="I107" s="129"/>
    </row>
    <row r="108" spans="1:35" ht="18.75" customHeight="1">
      <c r="A108" s="129"/>
      <c r="B108" s="129"/>
      <c r="C108" s="129"/>
      <c r="D108" s="129"/>
      <c r="E108" s="3765"/>
      <c r="F108" s="3733"/>
      <c r="G108" s="1827" t="s">
        <v>1434</v>
      </c>
      <c r="H108" s="2553">
        <f ca="1">IF(H107=H101,H102,ROUND(H107*10000/'数据-汇总表'!E3,0))</f>
        <v>0</v>
      </c>
      <c r="I108" s="129"/>
    </row>
    <row r="109" spans="1:35" ht="18.75" customHeight="1">
      <c r="A109" s="129"/>
      <c r="B109" s="129"/>
      <c r="C109" s="129"/>
      <c r="D109" s="129"/>
      <c r="E109" s="3765" t="str">
        <f>IF(项目基本情况!E8="已注销及未注销","4.抵押担保权已注销时的房地产抵押价值",IF(项目基本情况!E8="已注销","3.抵押担保权已注销时的房地产抵押价值","——"))</f>
        <v>——</v>
      </c>
      <c r="F109" s="3733"/>
      <c r="G109" s="1827" t="s">
        <v>1432</v>
      </c>
      <c r="H109" s="2596" t="str">
        <f>IF(E109="——","——",H101-H105-H106)</f>
        <v>——</v>
      </c>
      <c r="I109" s="129"/>
    </row>
    <row r="110" spans="1:35" ht="18.75" customHeight="1">
      <c r="A110" s="129"/>
      <c r="B110" s="129"/>
      <c r="C110" s="129"/>
      <c r="D110" s="129"/>
      <c r="E110" s="3765"/>
      <c r="F110" s="3733"/>
      <c r="G110" s="1827" t="s">
        <v>1434</v>
      </c>
      <c r="H110" s="2553" t="str">
        <f>IF(H109="——","——",ROUND(H109*10000/'数据-汇总表'!E3,0))</f>
        <v>——</v>
      </c>
      <c r="I110" s="129"/>
    </row>
    <row r="111" spans="1:35" ht="18.75" customHeight="1">
      <c r="A111" s="129"/>
      <c r="B111" s="129"/>
      <c r="C111" s="129"/>
      <c r="D111" s="129"/>
      <c r="E111" s="3766" t="str">
        <f>IF(项目基本情况!E9="抵押净值",IF(OR(项目基本情况!E8="已注销",项目基本情况!E8="房地产抵押价值"),"4.抵押净值","5.抵押净值"),"——")</f>
        <v>——</v>
      </c>
      <c r="F111" s="3752"/>
      <c r="G111" s="1827" t="s">
        <v>1432</v>
      </c>
      <c r="H111" s="2593" t="str">
        <f>IF(E111="——","——",N59)</f>
        <v>——</v>
      </c>
      <c r="I111" s="129"/>
    </row>
    <row r="112" spans="1:35" ht="18.75" customHeight="1" thickBot="1">
      <c r="A112" s="129"/>
      <c r="B112" s="129"/>
      <c r="C112" s="129"/>
      <c r="D112" s="129"/>
      <c r="E112" s="3767"/>
      <c r="F112" s="3768"/>
      <c r="G112" s="1830" t="s">
        <v>1434</v>
      </c>
      <c r="H112" s="2597" t="str">
        <f>IF(E111="——","——",N61)</f>
        <v>——</v>
      </c>
      <c r="I112" s="129"/>
    </row>
    <row r="113" spans="1:27" ht="18.75" customHeight="1">
      <c r="A113" s="129"/>
      <c r="B113" s="129"/>
      <c r="C113" s="129"/>
      <c r="D113" s="129"/>
      <c r="E113" s="3775" t="s">
        <v>1440</v>
      </c>
      <c r="F113" s="3775"/>
      <c r="G113" s="3775"/>
      <c r="H113" s="3775"/>
      <c r="I113" s="129"/>
    </row>
    <row r="114" spans="1:27" ht="3.75" customHeight="1">
      <c r="A114" s="1747"/>
      <c r="B114" s="1747"/>
      <c r="C114" s="1747"/>
      <c r="D114" s="1747"/>
      <c r="E114" s="1809"/>
      <c r="F114" s="1809"/>
      <c r="G114" s="1809"/>
      <c r="H114" s="1809"/>
      <c r="I114" s="1747"/>
    </row>
    <row r="115" spans="1:27" ht="18.75" customHeight="1">
      <c r="A115" s="3783" t="s">
        <v>1442</v>
      </c>
      <c r="B115" s="3784"/>
      <c r="C115" s="3784"/>
      <c r="D115" s="3784"/>
      <c r="E115" s="3784"/>
      <c r="F115" s="3784"/>
      <c r="G115" s="3784"/>
      <c r="H115" s="3784"/>
      <c r="I115" s="3785"/>
    </row>
    <row r="116" spans="1:27" ht="27" customHeight="1">
      <c r="A116" s="3740" t="s">
        <v>1443</v>
      </c>
      <c r="B116" s="3744" t="s">
        <v>1444</v>
      </c>
      <c r="C116" s="3744" t="s">
        <v>1445</v>
      </c>
      <c r="D116" s="3750" t="s">
        <v>1446</v>
      </c>
      <c r="E116" s="3751"/>
      <c r="F116" s="3782" t="s">
        <v>1447</v>
      </c>
      <c r="G116" s="3782"/>
      <c r="H116" s="3740" t="s">
        <v>1448</v>
      </c>
      <c r="I116" s="3740"/>
    </row>
    <row r="117" spans="1:27" ht="18.75" customHeight="1">
      <c r="A117" s="3740"/>
      <c r="B117" s="3745"/>
      <c r="C117" s="3745"/>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5605.5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40" t="s">
        <v>1452</v>
      </c>
      <c r="B119" s="3740"/>
      <c r="C119" s="3740"/>
      <c r="D119" s="3746" t="e">
        <f ca="1">NUMBERSTRING(INT(D118*10000),2)&amp;"元整"</f>
        <v>#REF!</v>
      </c>
      <c r="E119" s="3747"/>
      <c r="F119" s="3746" t="e">
        <f ca="1">NUMBERSTRING(INT(F118*10000),2)&amp;"元整"</f>
        <v>#REF!</v>
      </c>
      <c r="G119" s="3747"/>
      <c r="H119" s="3746" t="e">
        <f ca="1">NUMBERSTRING(INT(H118*10000),2)&amp;"元整"</f>
        <v>#REF!</v>
      </c>
      <c r="I119" s="3747"/>
    </row>
    <row r="120" spans="1:27" ht="18.75" customHeight="1">
      <c r="A120" s="3741" t="str">
        <f>IF(项目基本情况!B9="房地产市场价值","",MID(E103,3,LEN(E103)-2))</f>
        <v/>
      </c>
      <c r="B120" s="3742"/>
      <c r="C120" s="3743"/>
      <c r="D120" s="3741">
        <f>H103</f>
        <v>0</v>
      </c>
      <c r="E120" s="3742"/>
      <c r="F120" s="3742"/>
      <c r="G120" s="3742"/>
      <c r="H120" s="3742"/>
      <c r="I120" s="374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46" t="s">
        <v>1452</v>
      </c>
      <c r="B121" s="3748"/>
      <c r="C121" s="3747"/>
      <c r="D121" s="3746" t="str">
        <f>IF(D120=0,"零元整",NUMBERSTRING(INT(D120*10000),2)&amp;"元整")</f>
        <v>零元整</v>
      </c>
      <c r="E121" s="3748"/>
      <c r="F121" s="3748"/>
      <c r="G121" s="3748"/>
      <c r="H121" s="3748"/>
      <c r="I121" s="3747"/>
      <c r="AA121" s="725"/>
    </row>
    <row r="122" spans="1:27" ht="18.75" customHeight="1">
      <c r="A122" s="3752" t="str">
        <f>IF(项目基本情况!B9="房地产市场价值","",MID(E107,3,LEN(E107)-2))</f>
        <v/>
      </c>
      <c r="B122" s="3752"/>
      <c r="C122" s="3752"/>
      <c r="D122" s="3741" t="e">
        <f ca="1">H107</f>
        <v>#REF!</v>
      </c>
      <c r="E122" s="3742"/>
      <c r="F122" s="3742"/>
      <c r="G122" s="3742"/>
      <c r="H122" s="3742"/>
      <c r="I122" s="3743"/>
      <c r="AA122" s="725"/>
    </row>
    <row r="123" spans="1:27" ht="18.75" customHeight="1">
      <c r="A123" s="3740" t="s">
        <v>1452</v>
      </c>
      <c r="B123" s="3740"/>
      <c r="C123" s="3740"/>
      <c r="D123" s="3746" t="e">
        <f ca="1">NUMBERSTRING(INT(D122*10000),2)&amp;"元整"</f>
        <v>#REF!</v>
      </c>
      <c r="E123" s="3748"/>
      <c r="F123" s="3748"/>
      <c r="G123" s="3748"/>
      <c r="H123" s="3748"/>
      <c r="I123" s="3747"/>
      <c r="AA123" s="725"/>
    </row>
    <row r="124" spans="1:27" ht="18.75" customHeight="1">
      <c r="A124" s="3752" t="str">
        <f>IF(项目基本情况!B9="房地产市场价值","",MID(E109,3,LEN(E109)-2))</f>
        <v/>
      </c>
      <c r="B124" s="3752"/>
      <c r="C124" s="3752"/>
      <c r="D124" s="3741" t="str">
        <f>H109</f>
        <v>——</v>
      </c>
      <c r="E124" s="3742"/>
      <c r="F124" s="3742"/>
      <c r="G124" s="3742"/>
      <c r="H124" s="3742"/>
      <c r="I124" s="3743"/>
      <c r="AA124" s="725"/>
    </row>
    <row r="125" spans="1:27" ht="18.75" customHeight="1">
      <c r="A125" s="3740" t="s">
        <v>1452</v>
      </c>
      <c r="B125" s="3740"/>
      <c r="C125" s="3740"/>
      <c r="D125" s="3746" t="e">
        <f>NUMBERSTRING(INT(D124*10000),2)&amp;"元整"</f>
        <v>#VALUE!</v>
      </c>
      <c r="E125" s="3748"/>
      <c r="F125" s="3748"/>
      <c r="G125" s="3748"/>
      <c r="H125" s="3748"/>
      <c r="I125" s="3747"/>
      <c r="AA125" s="725"/>
    </row>
    <row r="126" spans="1:27" ht="18.75" customHeight="1">
      <c r="A126" s="3752" t="str">
        <f>IF(项目基本情况!B9="房地产市场价值","",MID(E111,3,LEN(E111)-2))</f>
        <v/>
      </c>
      <c r="B126" s="3752"/>
      <c r="C126" s="3752"/>
      <c r="D126" s="3741" t="str">
        <f>H111</f>
        <v>——</v>
      </c>
      <c r="E126" s="3742"/>
      <c r="F126" s="3742"/>
      <c r="G126" s="3742"/>
      <c r="H126" s="3742"/>
      <c r="I126" s="3743"/>
      <c r="AA126" s="725"/>
    </row>
    <row r="127" spans="1:27" ht="18.75" customHeight="1">
      <c r="A127" s="3740" t="s">
        <v>1452</v>
      </c>
      <c r="B127" s="3740"/>
      <c r="C127" s="3740"/>
      <c r="D127" s="3746" t="e">
        <f>NUMBERSTRING(INT(D126*10000),2)&amp;"元整"</f>
        <v>#VALUE!</v>
      </c>
      <c r="E127" s="3748"/>
      <c r="F127" s="3748"/>
      <c r="G127" s="3748"/>
      <c r="H127" s="3748"/>
      <c r="I127" s="3747"/>
      <c r="AA127" s="725"/>
    </row>
    <row r="128" spans="1:27" ht="21.75" customHeight="1">
      <c r="A128" s="3749" t="s">
        <v>1453</v>
      </c>
      <c r="B128" s="3749"/>
      <c r="C128" s="3749"/>
      <c r="D128" s="3749"/>
      <c r="E128" s="3749"/>
      <c r="F128" s="3749"/>
      <c r="G128" s="3749"/>
      <c r="H128" s="3749"/>
      <c r="I128" s="374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-117</v>
      </c>
      <c r="C2" s="276" t="s">
        <v>1595</v>
      </c>
      <c r="D2" s="276"/>
      <c r="E2" s="2804"/>
      <c r="F2" s="2804"/>
      <c r="G2" s="2804"/>
      <c r="H2" s="2804"/>
      <c r="I2" s="2804"/>
      <c r="J2" s="2804"/>
      <c r="K2" s="2804"/>
    </row>
    <row r="3" spans="1:33" ht="18" customHeight="1" thickBot="1">
      <c r="A3" s="203" t="s">
        <v>1464</v>
      </c>
      <c r="B3" s="204">
        <f ca="1">ROUND(B2*10000/IF(C1="",'数据-汇总表'!E3,INDIRECT("'数据-取费表'!K"&amp;$K$1)),0)</f>
        <v>-209</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5605.5</v>
      </c>
      <c r="E14" s="21">
        <f>'数据-取费表'!B35</f>
        <v>190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5605.5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107</v>
      </c>
      <c r="D20" s="846">
        <f ca="1">IF(C1="",'数据-汇总表'!E6,IF(INDIRECT("'数据-取费表'!c"&amp;$K$1)="住宅",INDIRECT("'数据-取费表'!s"&amp;$K$1),INDIRECT("'数据-取费表'!k"&amp;$K$1)+INDIRECT("'数据-取费表'!s"&amp;$K$1)))</f>
        <v>5605.5</v>
      </c>
      <c r="E20" s="21">
        <f>'数据-取费表'!B28</f>
        <v>190</v>
      </c>
      <c r="F20" s="804"/>
      <c r="G20" s="12"/>
      <c r="H20" s="809"/>
      <c r="I20" s="809"/>
      <c r="J20" s="809"/>
      <c r="K20" s="810"/>
    </row>
    <row r="21" spans="1:33" s="803" customFormat="1" ht="13.5" customHeight="1">
      <c r="A21" s="790" t="s">
        <v>357</v>
      </c>
      <c r="B21" s="813" t="s">
        <v>1628</v>
      </c>
      <c r="C21" s="814">
        <f ca="1">C16+C17+C18</f>
        <v>107</v>
      </c>
      <c r="D21" s="815"/>
      <c r="E21" s="281"/>
      <c r="F21" s="281"/>
      <c r="G21" s="131" t="s">
        <v>1629</v>
      </c>
      <c r="H21" s="807"/>
      <c r="I21" s="807"/>
      <c r="J21" s="807"/>
      <c r="K21" s="808"/>
    </row>
    <row r="22" spans="1:33" s="803" customFormat="1" ht="13.5" customHeight="1">
      <c r="A22" s="790" t="s">
        <v>1601</v>
      </c>
      <c r="B22" s="813" t="s">
        <v>1630</v>
      </c>
      <c r="C22" s="814">
        <f ca="1">ROUND(C21*F22,0)</f>
        <v>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11</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-117</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200-000000000000}">
      <formula1>项目类型</formula1>
    </dataValidation>
    <dataValidation type="list" allowBlank="1" showInputMessage="1" showErrorMessage="1" sqref="G18" xr:uid="{00000000-0002-0000-12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36" t="str">
        <f>项目基本情况!B1</f>
        <v>北京市房地产市场价值预评估</v>
      </c>
      <c r="C37" s="3636"/>
      <c r="D37" s="3636"/>
      <c r="E37" s="3636"/>
      <c r="F37" s="3636"/>
      <c r="G37" s="3636"/>
      <c r="H37" s="3636"/>
      <c r="I37" s="363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sheetPr>
  <dimension ref="A1:AK83"/>
  <sheetViews>
    <sheetView tabSelected="1" view="pageBreakPreview" topLeftCell="B23" zoomScale="80" zoomScaleNormal="70" zoomScaleSheetLayoutView="80" workbookViewId="0">
      <selection activeCell="E15" sqref="E1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34.51</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6875</v>
      </c>
      <c r="C2" s="1387" t="s">
        <v>805</v>
      </c>
      <c r="D2" s="1387"/>
      <c r="E2" s="1388"/>
      <c r="F2" s="1389"/>
      <c r="G2" s="2704"/>
      <c r="H2" s="3633"/>
      <c r="I2" s="2693"/>
      <c r="J2" s="2693"/>
      <c r="K2" s="2694"/>
      <c r="L2" s="2693"/>
      <c r="M2" s="2693"/>
    </row>
    <row r="3" spans="1:37" ht="18" customHeight="1" thickBot="1">
      <c r="A3" s="1390" t="s">
        <v>806</v>
      </c>
      <c r="B3" s="1391">
        <f ca="1">IF(ISERROR(B2*10000/F43),0,ROUND(B2*10000/F43,0))</f>
        <v>12265</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368.46</v>
      </c>
      <c r="D5" s="1364" t="s">
        <v>693</v>
      </c>
      <c r="E5" s="1071"/>
      <c r="F5" s="1072"/>
      <c r="G5" s="1384"/>
      <c r="H5" s="299">
        <v>1</v>
      </c>
      <c r="I5" s="300" t="s">
        <v>692</v>
      </c>
      <c r="J5" s="1070">
        <f ca="1">J6+J10+J12</f>
        <v>0</v>
      </c>
      <c r="K5" s="1364" t="s">
        <v>693</v>
      </c>
      <c r="L5" s="1071"/>
      <c r="M5" s="1072"/>
    </row>
    <row r="6" spans="1:37" ht="18" customHeight="1">
      <c r="A6" s="1069" t="s">
        <v>398</v>
      </c>
      <c r="B6" s="3821" t="s">
        <v>694</v>
      </c>
      <c r="C6" s="1074">
        <f ca="1">ROUND(F6*F8*F7*(1-F9)/10000,0)</f>
        <v>368</v>
      </c>
      <c r="D6" s="155" t="s">
        <v>2109</v>
      </c>
      <c r="E6" s="302" t="s">
        <v>696</v>
      </c>
      <c r="F6" s="303">
        <f ca="1">INDIRECT("'数据-取费表'!u"&amp;$G$1)</f>
        <v>2</v>
      </c>
      <c r="G6" s="1384"/>
      <c r="H6" s="1069" t="s">
        <v>398</v>
      </c>
      <c r="I6" s="3821" t="s">
        <v>694</v>
      </c>
      <c r="J6" s="301">
        <f ca="1">ROUND(M6*M8*M7*(1-M9)/10000,0)</f>
        <v>0</v>
      </c>
      <c r="K6" s="155" t="s">
        <v>2108</v>
      </c>
      <c r="L6" s="302" t="s">
        <v>696</v>
      </c>
      <c r="M6" s="303">
        <f ca="1">INDIRECT("'数据-取费表'!z"&amp;$G$1)</f>
        <v>0</v>
      </c>
    </row>
    <row r="7" spans="1:37" ht="18" customHeight="1">
      <c r="A7" s="1073"/>
      <c r="B7" s="3822"/>
      <c r="C7" s="1075"/>
      <c r="D7" s="307"/>
      <c r="E7" s="1076" t="s">
        <v>697</v>
      </c>
      <c r="F7" s="303">
        <f ca="1">IF(INDIRECT("'数据-取费表'!ah"&amp;$G$1)="",INDIRECT("'数据-取费表'!k"&amp;$G$1),INDIRECT("'数据-取费表'!ah"&amp;$G$1))</f>
        <v>5605.5</v>
      </c>
      <c r="G7" s="1384"/>
      <c r="H7" s="304"/>
      <c r="I7" s="3822"/>
      <c r="J7" s="306"/>
      <c r="K7" s="307"/>
      <c r="L7" s="302" t="s">
        <v>697</v>
      </c>
      <c r="M7" s="303">
        <f ca="1">F7</f>
        <v>5605.5</v>
      </c>
    </row>
    <row r="8" spans="1:37" ht="18" customHeight="1">
      <c r="A8" s="304"/>
      <c r="B8" s="3822"/>
      <c r="C8" s="306"/>
      <c r="D8" s="307"/>
      <c r="E8" s="302" t="s">
        <v>698</v>
      </c>
      <c r="F8" s="303">
        <f ca="1">INDIRECT("'数据-取费表'!ai"&amp;$G$1)</f>
        <v>365</v>
      </c>
      <c r="G8" s="1384"/>
      <c r="H8" s="304"/>
      <c r="I8" s="3822"/>
      <c r="J8" s="306"/>
      <c r="K8" s="307"/>
      <c r="L8" s="302" t="s">
        <v>698</v>
      </c>
      <c r="M8" s="303">
        <f ca="1">INDIRECT("'数据-取费表'!ai"&amp;$G$1)</f>
        <v>365</v>
      </c>
    </row>
    <row r="9" spans="1:37" ht="18" customHeight="1">
      <c r="A9" s="304"/>
      <c r="B9" s="3823"/>
      <c r="C9" s="306"/>
      <c r="D9" s="307"/>
      <c r="E9" s="302" t="s">
        <v>699</v>
      </c>
      <c r="F9" s="312">
        <f ca="1">INDIRECT("'数据-取费表'!w"&amp;$G$1)</f>
        <v>0.1</v>
      </c>
      <c r="G9" s="1384"/>
      <c r="H9" s="304"/>
      <c r="I9" s="3823"/>
      <c r="J9" s="306"/>
      <c r="K9" s="307"/>
      <c r="L9" s="313" t="s">
        <v>699</v>
      </c>
      <c r="M9" s="314">
        <f ca="1">INDIRECT("'数据-取费表'!ab"&amp;$G$1)</f>
        <v>0</v>
      </c>
    </row>
    <row r="10" spans="1:37" ht="18" customHeight="1">
      <c r="A10" s="1069" t="s">
        <v>402</v>
      </c>
      <c r="B10" s="1365" t="s">
        <v>700</v>
      </c>
      <c r="C10" s="3634">
        <f ca="1">ROUND(IF(F10="押一",C6/12*F11,IF(F10="押二",C6/12*2*F11,IF(F10="押三",C6/12*3*F11,C11*F11))),2)</f>
        <v>0.46</v>
      </c>
      <c r="D10" s="1366" t="s">
        <v>2117</v>
      </c>
      <c r="E10" s="313" t="s">
        <v>701</v>
      </c>
      <c r="F10" s="1116" t="s">
        <v>3392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1777</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1682</v>
      </c>
      <c r="D14" s="1345" t="s">
        <v>708</v>
      </c>
      <c r="E14" s="1342"/>
      <c r="F14" s="319"/>
      <c r="G14" s="1384"/>
      <c r="H14" s="982" t="s">
        <v>398</v>
      </c>
      <c r="I14" s="302" t="s">
        <v>709</v>
      </c>
      <c r="J14" s="21">
        <f ca="1">C29</f>
        <v>2278</v>
      </c>
      <c r="K14" s="12"/>
      <c r="L14" s="807"/>
      <c r="M14" s="808"/>
    </row>
    <row r="15" spans="1:37" s="1397" customFormat="1" ht="18" customHeight="1" thickBot="1">
      <c r="A15" s="982" t="s">
        <v>399</v>
      </c>
      <c r="B15" s="302" t="s">
        <v>710</v>
      </c>
      <c r="C15" s="21">
        <f ca="1">ROUND(C14*F15,0)</f>
        <v>50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1088"/>
      <c r="M16" s="1072"/>
    </row>
    <row r="17" spans="1:37" s="1397" customFormat="1" ht="18" customHeight="1">
      <c r="A17" s="982" t="s">
        <v>681</v>
      </c>
      <c r="B17" s="302" t="s">
        <v>716</v>
      </c>
      <c r="C17" s="21">
        <f ca="1">ROUND(F17*(F43+INDIRECT("'数据-取费表'!S"&amp;$G$1))/10000,0)</f>
        <v>107</v>
      </c>
      <c r="D17" s="302" t="s">
        <v>717</v>
      </c>
      <c r="E17" s="302" t="s">
        <v>718</v>
      </c>
      <c r="F17" s="23">
        <f>'数据-取费表'!B35</f>
        <v>190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1864</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37</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22.78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-23</v>
      </c>
      <c r="K25" s="1095" t="s">
        <v>753</v>
      </c>
      <c r="L25" s="1096"/>
      <c r="M25" s="1097"/>
    </row>
    <row r="26" spans="1:37">
      <c r="A26" s="982" t="s">
        <v>397</v>
      </c>
      <c r="B26" s="302" t="s">
        <v>754</v>
      </c>
      <c r="C26" s="21">
        <f ca="1">ROUND((C19+C20)*F26,0)</f>
        <v>190</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2278</v>
      </c>
      <c r="D29" s="1092"/>
      <c r="E29" s="1090"/>
      <c r="F29" s="1093"/>
      <c r="G29" s="1396"/>
      <c r="H29" s="334" t="s">
        <v>396</v>
      </c>
      <c r="I29" s="335" t="s">
        <v>768</v>
      </c>
      <c r="J29" s="336">
        <f ca="1">ROUND(J26/(1+F40)^F41,0)</f>
        <v>0</v>
      </c>
      <c r="K29" s="337" t="s">
        <v>769</v>
      </c>
      <c r="L29" s="338"/>
      <c r="M29" s="339">
        <f ca="1">INDIRECT("'数据-取费表'!k"&amp;$G$1)</f>
        <v>5605.5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90</v>
      </c>
      <c r="D30" s="1087" t="s">
        <v>715</v>
      </c>
      <c r="E30" s="1088"/>
      <c r="F30" s="1072"/>
      <c r="G30" s="1384"/>
      <c r="H30" s="2695"/>
      <c r="I30" s="1398"/>
      <c r="J30" s="1399"/>
      <c r="K30" s="3635"/>
      <c r="L30" s="2696"/>
      <c r="M30" s="2697"/>
    </row>
    <row r="31" spans="1:37" ht="18" customHeight="1">
      <c r="A31" s="982" t="s">
        <v>398</v>
      </c>
      <c r="B31" s="302" t="s">
        <v>719</v>
      </c>
      <c r="C31" s="2316">
        <f ca="1">ROUND(IF(AND(项目基本情况!B11="自然人",项目基本情况!B10="北京市"),C6*F31/(1+'数据-取费表'!C42),C32+C33+C34),2)</f>
        <v>61.34</v>
      </c>
      <c r="D31" s="1345" t="s">
        <v>720</v>
      </c>
      <c r="E31" s="1344" t="s">
        <v>770</v>
      </c>
      <c r="F31" s="2315" t="str">
        <f>IF(项目基本情况!B11="企业","——",IF(M47="住宅",IF(F6*F7*F8/12/(1+'数据-取费表'!F30)&gt;100000,4%,2.5%),IF(F6*F7*F8/12/(1+'数据-取费表'!F30)&gt;100000,12%,7%)))</f>
        <v>——</v>
      </c>
      <c r="G31" s="1384"/>
      <c r="H31" s="2806" t="s">
        <v>2308</v>
      </c>
      <c r="I31" s="1398"/>
      <c r="J31" s="1399"/>
      <c r="K31" s="2473"/>
      <c r="L31" s="2696"/>
      <c r="M31" s="2697"/>
    </row>
    <row r="32" spans="1:37" ht="18" customHeight="1">
      <c r="A32" s="982" t="s">
        <v>397</v>
      </c>
      <c r="B32" s="302" t="s">
        <v>723</v>
      </c>
      <c r="C32" s="21">
        <f ca="1">IF(项目基本情况!B11="自然人","——",ROUND(C6*F32/(1+'数据-取费表'!C42),2))</f>
        <v>19.28</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42.06</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22.78</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1.78</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3.68</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278.45999999999998</v>
      </c>
      <c r="D39" s="1095" t="s">
        <v>773</v>
      </c>
      <c r="E39" s="1096"/>
      <c r="F39" s="1097"/>
      <c r="G39" s="1384"/>
      <c r="H39" s="2698"/>
      <c r="I39" s="1398"/>
      <c r="J39" s="1399"/>
      <c r="K39" s="2702"/>
      <c r="L39" s="2698"/>
      <c r="M39" s="2698"/>
    </row>
    <row r="40" spans="1:18" ht="18" customHeight="1">
      <c r="A40" s="299" t="s">
        <v>395</v>
      </c>
      <c r="B40" s="300" t="s">
        <v>774</v>
      </c>
      <c r="C40" s="301">
        <f ca="1">ROUND(C39*(1-((1+F42)/(1+F40))^F41)/(F40-F42),0)</f>
        <v>6753</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34.51</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ROUND(C40*10000/F43,0)</f>
        <v>12047</v>
      </c>
      <c r="D43" s="337" t="s">
        <v>777</v>
      </c>
      <c r="E43" s="338" t="s">
        <v>778</v>
      </c>
      <c r="F43" s="339">
        <f ca="1">INDIRECT("'数据-取费表'!k"&amp;$G$1)</f>
        <v>5605.5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-7160</v>
      </c>
      <c r="D46" s="1406" t="str">
        <f>C2</f>
        <v>万元</v>
      </c>
      <c r="E46" s="1400"/>
      <c r="F46" s="1400"/>
      <c r="I46" s="1407" t="s">
        <v>810</v>
      </c>
      <c r="J46" s="1408"/>
      <c r="K46" s="1409"/>
      <c r="L46" s="1410">
        <f ca="1">IF(M47="住宅",0,IF(L48&gt;J51,L60,J60))</f>
        <v>122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50</v>
      </c>
      <c r="M47" s="1380" t="str">
        <f>IF(ISNUMBER(FIND("住宅",C1)),"住宅","非住宅")</f>
        <v>非住宅</v>
      </c>
      <c r="O47" s="1418" t="s">
        <v>403</v>
      </c>
      <c r="P47" s="1419" t="s">
        <v>817</v>
      </c>
      <c r="Q47" s="1420">
        <f ca="1">C40+J29</f>
        <v>6753</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34.51</v>
      </c>
      <c r="O48" s="1418" t="s">
        <v>404</v>
      </c>
      <c r="P48" s="1419" t="s">
        <v>821</v>
      </c>
      <c r="Q48" s="1420">
        <f ca="1">J60</f>
        <v>122</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2010</v>
      </c>
      <c r="K49" s="1423" t="s">
        <v>824</v>
      </c>
      <c r="L49" s="1427"/>
      <c r="O49" s="1428" t="s">
        <v>405</v>
      </c>
      <c r="P49" s="1419" t="s">
        <v>825</v>
      </c>
      <c r="Q49" s="1420">
        <f ca="1">C29</f>
        <v>2278</v>
      </c>
      <c r="R49" s="1420" t="s">
        <v>818</v>
      </c>
    </row>
    <row r="50" spans="1:18" s="1384" customFormat="1" ht="13.5" thickBot="1">
      <c r="A50" s="976"/>
      <c r="B50" s="979"/>
      <c r="C50" s="1118"/>
      <c r="D50" s="953"/>
      <c r="E50" s="1056" t="s">
        <v>697</v>
      </c>
      <c r="F50" s="1057">
        <f ca="1">F7</f>
        <v>5605.5</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3228</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f>'数据-取费表'!J6+0.5%</f>
        <v>0.06</v>
      </c>
      <c r="K52" s="1437" t="s">
        <v>833</v>
      </c>
      <c r="L52" s="1438"/>
      <c r="O52" s="1428" t="s">
        <v>408</v>
      </c>
      <c r="P52" s="1419" t="s">
        <v>834</v>
      </c>
      <c r="Q52" s="1420">
        <f ca="1">J53</f>
        <v>34.51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34.51</v>
      </c>
      <c r="K53" s="3819" t="s">
        <v>837</v>
      </c>
      <c r="L53" s="3820"/>
      <c r="O53" s="1418" t="s">
        <v>409</v>
      </c>
      <c r="P53" s="1419" t="s">
        <v>838</v>
      </c>
      <c r="Q53" s="1420">
        <f ca="1">Q47+Q48</f>
        <v>6875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0.05</v>
      </c>
      <c r="K55" s="1445" t="s">
        <v>841</v>
      </c>
      <c r="L55" s="1446"/>
      <c r="O55" s="1411" t="s">
        <v>811</v>
      </c>
      <c r="P55" s="1412" t="s">
        <v>812</v>
      </c>
      <c r="Q55" s="1413" t="s">
        <v>813</v>
      </c>
      <c r="R55" s="1413" t="s">
        <v>814</v>
      </c>
    </row>
    <row r="56" spans="1:18" s="1384" customFormat="1" ht="25.5" thickTop="1" thickBot="1">
      <c r="A56" s="957">
        <v>2</v>
      </c>
      <c r="B56" s="958" t="s">
        <v>704</v>
      </c>
      <c r="C56" s="232">
        <f ca="1">C13</f>
        <v>1777</v>
      </c>
      <c r="D56" s="1447"/>
      <c r="E56" s="1448"/>
      <c r="F56" s="1440"/>
      <c r="I56" s="1449" t="s">
        <v>842</v>
      </c>
      <c r="J56" s="1450" t="s">
        <v>3397</v>
      </c>
      <c r="K56" s="1421" t="s">
        <v>843</v>
      </c>
      <c r="L56" s="1424" t="str">
        <f ca="1">IF(L48&lt;J51,"——",L48-J53)</f>
        <v>——</v>
      </c>
      <c r="O56" s="1418" t="s">
        <v>403</v>
      </c>
      <c r="P56" s="1419" t="s">
        <v>817</v>
      </c>
      <c r="Q56" s="1420">
        <f ca="1">C40+J29</f>
        <v>6753</v>
      </c>
      <c r="R56" s="1420" t="s">
        <v>818</v>
      </c>
    </row>
    <row r="57" spans="1:18" s="1384" customFormat="1" ht="24.75" thickBot="1">
      <c r="A57" s="1451"/>
      <c r="B57" s="950" t="s">
        <v>767</v>
      </c>
      <c r="C57" s="238">
        <f ca="1">C29</f>
        <v>2278</v>
      </c>
      <c r="D57" s="1452"/>
      <c r="E57" s="1453"/>
      <c r="F57" s="1454"/>
      <c r="I57" s="1455" t="s">
        <v>844</v>
      </c>
      <c r="J57" s="1456">
        <f ca="1">IF(OR(M47="住宅",J51&lt;L48,J56="是"),"——",J51-L48)</f>
        <v>2.490000000000002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911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122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6753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22.78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1.78</v>
      </c>
      <c r="D65" s="964" t="s">
        <v>743</v>
      </c>
      <c r="E65" s="950" t="s">
        <v>744</v>
      </c>
      <c r="F65" s="330">
        <f t="shared" ca="1" si="0"/>
        <v>1E-3</v>
      </c>
      <c r="I65" s="1462" t="s">
        <v>867</v>
      </c>
      <c r="J65" s="1463">
        <v>40</v>
      </c>
      <c r="K65" s="1463">
        <v>30</v>
      </c>
      <c r="L65" s="1463">
        <v>50</v>
      </c>
      <c r="M65" s="1465">
        <v>0.02</v>
      </c>
      <c r="O65" s="1418" t="s">
        <v>403</v>
      </c>
      <c r="P65" s="1419" t="s">
        <v>868</v>
      </c>
      <c r="Q65" s="1420">
        <f ca="1">C40+J29</f>
        <v>6753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v>
      </c>
      <c r="D67" s="963" t="s">
        <v>753</v>
      </c>
      <c r="E67" s="968"/>
      <c r="F67" s="969"/>
      <c r="O67" s="1428" t="s">
        <v>405</v>
      </c>
      <c r="P67" s="1419" t="s">
        <v>850</v>
      </c>
      <c r="Q67" s="1466">
        <f ca="1">L51</f>
        <v>3228</v>
      </c>
      <c r="R67" s="1420" t="s">
        <v>870</v>
      </c>
    </row>
    <row r="68" spans="1:18" s="1384" customFormat="1" ht="16.5" thickBot="1">
      <c r="A68" s="947" t="s">
        <v>395</v>
      </c>
      <c r="B68" s="948" t="s">
        <v>774</v>
      </c>
      <c r="C68" s="301">
        <f ca="1">ROUND(C67*(1-((1+F70)/(1+F68))^F69)/(F68-F70),0)</f>
        <v>-407</v>
      </c>
      <c r="D68" s="965" t="s">
        <v>758</v>
      </c>
      <c r="E68" s="950" t="s">
        <v>759</v>
      </c>
      <c r="F68" s="312">
        <f ca="1">F40</f>
        <v>0.05</v>
      </c>
      <c r="O68" s="1428" t="s">
        <v>406</v>
      </c>
      <c r="P68" s="1467" t="s">
        <v>871</v>
      </c>
      <c r="Q68" s="1420">
        <f ca="1">ROUND(Q69-Q70*Q71,0)</f>
        <v>181</v>
      </c>
      <c r="R68" s="1420" t="s">
        <v>414</v>
      </c>
    </row>
    <row r="69" spans="1:18" s="1384" customFormat="1" ht="13.5" thickBot="1">
      <c r="A69" s="951"/>
      <c r="B69" s="952"/>
      <c r="C69" s="306"/>
      <c r="D69" s="970" t="s">
        <v>762</v>
      </c>
      <c r="E69" s="950" t="s">
        <v>763</v>
      </c>
      <c r="F69" s="333">
        <f ca="1">F41</f>
        <v>34.51</v>
      </c>
      <c r="O69" s="1428" t="s">
        <v>411</v>
      </c>
      <c r="P69" s="1467" t="s">
        <v>872</v>
      </c>
      <c r="Q69" s="1420">
        <f ca="1">C39</f>
        <v>278.45999999999998</v>
      </c>
      <c r="R69" s="1420" t="s">
        <v>818</v>
      </c>
    </row>
    <row r="70" spans="1:18" s="1384" customFormat="1" ht="13.5" thickBot="1">
      <c r="A70" s="954"/>
      <c r="B70" s="955"/>
      <c r="C70" s="310"/>
      <c r="D70" s="966"/>
      <c r="E70" s="950" t="s">
        <v>766</v>
      </c>
      <c r="F70" s="1054"/>
      <c r="O70" s="1428" t="s">
        <v>412</v>
      </c>
      <c r="P70" s="1467" t="s">
        <v>873</v>
      </c>
      <c r="Q70" s="1420">
        <f ca="1">C13</f>
        <v>1777</v>
      </c>
      <c r="R70" s="1420" t="s">
        <v>818</v>
      </c>
    </row>
    <row r="71" spans="1:18" s="1384" customFormat="1" ht="13.5" thickBot="1">
      <c r="A71" s="971" t="s">
        <v>396</v>
      </c>
      <c r="B71" s="972" t="s">
        <v>776</v>
      </c>
      <c r="C71" s="336">
        <f ca="1">ROUND(C68*10000/F71,0)</f>
        <v>-726</v>
      </c>
      <c r="D71" s="973" t="s">
        <v>777</v>
      </c>
      <c r="E71" s="974" t="s">
        <v>778</v>
      </c>
      <c r="F71" s="339">
        <f ca="1">F43</f>
        <v>5605.5</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98</v>
      </c>
      <c r="D75" s="1384"/>
      <c r="E75" s="1384"/>
      <c r="F75" s="1384"/>
      <c r="K75" s="1402"/>
      <c r="L75" s="1384"/>
      <c r="O75" s="1418" t="s">
        <v>409</v>
      </c>
      <c r="P75" s="1419" t="s">
        <v>838</v>
      </c>
      <c r="Q75" s="1420">
        <f ca="1">Q65+Q66</f>
        <v>6753</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0.64800000000000002</v>
      </c>
    </row>
    <row r="80" spans="1:18">
      <c r="B80" s="340" t="s">
        <v>800</v>
      </c>
      <c r="C80" s="274">
        <f ca="1">ROUND(C75/C39,3)</f>
        <v>0.35199999999999998</v>
      </c>
    </row>
    <row r="81" spans="2:3">
      <c r="B81" s="270" t="s">
        <v>801</v>
      </c>
      <c r="C81" s="238"/>
    </row>
    <row r="82" spans="2:3">
      <c r="B82" s="273" t="s">
        <v>802</v>
      </c>
      <c r="C82" s="275">
        <f ca="1">1-C83</f>
        <v>0.73699999999999999</v>
      </c>
    </row>
    <row r="83" spans="2:3">
      <c r="B83" s="273" t="s">
        <v>803</v>
      </c>
      <c r="C83" s="274">
        <f ca="1">ROUND(C13/C40,3)</f>
        <v>0.26300000000000001</v>
      </c>
    </row>
  </sheetData>
  <sheetProtection formatCells="0" formatColumns="0" formatRows="0"/>
  <mergeCells count="3">
    <mergeCell ref="K53:L53"/>
    <mergeCell ref="B6:B9"/>
    <mergeCell ref="I6:I9"/>
  </mergeCells>
  <phoneticPr fontId="4"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xr:uid="{00000000-0002-0000-1300-000000000000}">
      <formula1>"按租金收入计税,按房产原值计税"</formula1>
    </dataValidation>
    <dataValidation type="list" allowBlank="1" showInputMessage="1" showErrorMessage="1" sqref="D33 D61" xr:uid="{00000000-0002-0000-1300-000001000000}">
      <formula1>"按租金收入计税,按房产原值计税,按票据"</formula1>
    </dataValidation>
    <dataValidation type="list" allowBlank="1" showInputMessage="1" showErrorMessage="1" sqref="C1" xr:uid="{00000000-0002-0000-1300-000002000000}">
      <formula1>项目类型</formula1>
    </dataValidation>
    <dataValidation type="list" allowBlank="1" showInputMessage="1" showErrorMessage="1" sqref="J47" xr:uid="{00000000-0002-0000-1300-000003000000}">
      <formula1>"钢,钢混,砖混"</formula1>
    </dataValidation>
    <dataValidation type="list" allowBlank="1" showInputMessage="1" showErrorMessage="1" sqref="J48" xr:uid="{00000000-0002-0000-1300-000004000000}">
      <formula1>"非生产用房,生产用房,受腐蚀的生产用房"</formula1>
    </dataValidation>
    <dataValidation type="list" allowBlank="1" showInputMessage="1" showErrorMessage="1" sqref="J56" xr:uid="{00000000-0002-0000-1300-000005000000}">
      <formula1>估价范围判定</formula1>
    </dataValidation>
    <dataValidation type="list" allowBlank="1" showInputMessage="1" showErrorMessage="1" sqref="L55" xr:uid="{00000000-0002-0000-1300-000006000000}">
      <formula1>"比较法,基准地价,收益还原"</formula1>
    </dataValidation>
    <dataValidation type="list" allowBlank="1" showInputMessage="1" showErrorMessage="1" sqref="M10 F10 F53" xr:uid="{00000000-0002-0000-1300-000007000000}">
      <formula1>"押一,押二,押三,自定义"</formula1>
    </dataValidation>
    <dataValidation type="list" allowBlank="1" showInputMessage="1" showErrorMessage="1" sqref="D1" xr:uid="{00000000-0002-0000-1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34.51</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6769.3672999999999</v>
      </c>
      <c r="C2" s="1387" t="s">
        <v>879</v>
      </c>
      <c r="D2" s="1471">
        <f ca="1">C40+J29+L46</f>
        <v>67693673</v>
      </c>
      <c r="E2" s="1388" t="s">
        <v>880</v>
      </c>
      <c r="F2" s="1389"/>
      <c r="G2" s="2704"/>
      <c r="H2" s="2693"/>
      <c r="I2" s="2693"/>
      <c r="J2" s="2693"/>
      <c r="K2" s="2694"/>
      <c r="L2" s="2693"/>
      <c r="M2" s="2693"/>
    </row>
    <row r="3" spans="1:37" ht="18" customHeight="1" thickBot="1">
      <c r="A3" s="1390" t="s">
        <v>881</v>
      </c>
      <c r="B3" s="1391">
        <f ca="1">IF(ISERROR(D2/F43),0,ROUND(D2/F43,0))</f>
        <v>12076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3687418</v>
      </c>
      <c r="D5" s="1364" t="s">
        <v>889</v>
      </c>
      <c r="E5" s="1071"/>
      <c r="F5" s="1072"/>
      <c r="G5" s="1384"/>
      <c r="H5" s="299">
        <v>1</v>
      </c>
      <c r="I5" s="300" t="s">
        <v>888</v>
      </c>
      <c r="J5" s="1070">
        <f ca="1">J6+J10+J12</f>
        <v>0</v>
      </c>
      <c r="K5" s="1364" t="s">
        <v>889</v>
      </c>
      <c r="L5" s="1071"/>
      <c r="M5" s="1072"/>
    </row>
    <row r="6" spans="1:37" ht="18" customHeight="1">
      <c r="A6" s="1069" t="s">
        <v>398</v>
      </c>
      <c r="B6" s="3821" t="s">
        <v>694</v>
      </c>
      <c r="C6" s="1074">
        <f ca="1">ROUND(F6*F8*F7*(1-F9),0)</f>
        <v>3682814</v>
      </c>
      <c r="D6" s="155" t="s">
        <v>2106</v>
      </c>
      <c r="E6" s="302" t="s">
        <v>696</v>
      </c>
      <c r="F6" s="303">
        <f ca="1">INDIRECT("'数据-取费表'!u"&amp;$G$1)</f>
        <v>2</v>
      </c>
      <c r="G6" s="1384"/>
      <c r="H6" s="1069" t="s">
        <v>398</v>
      </c>
      <c r="I6" s="3821" t="s">
        <v>694</v>
      </c>
      <c r="J6" s="301">
        <f ca="1">ROUND(M6*M8*M7*(1-M9),0)</f>
        <v>0</v>
      </c>
      <c r="K6" s="1376" t="s">
        <v>2107</v>
      </c>
      <c r="L6" s="302" t="s">
        <v>696</v>
      </c>
      <c r="M6" s="303">
        <f ca="1">INDIRECT("'数据-取费表'!z"&amp;$G$1)</f>
        <v>0</v>
      </c>
    </row>
    <row r="7" spans="1:37" ht="18" customHeight="1">
      <c r="A7" s="1073"/>
      <c r="B7" s="3822"/>
      <c r="C7" s="1075"/>
      <c r="D7" s="307"/>
      <c r="E7" s="1076" t="s">
        <v>697</v>
      </c>
      <c r="F7" s="303">
        <f ca="1">IF(INDIRECT("'数据-取费表'!ah"&amp;$G$1)="",INDIRECT("'数据-取费表'!k"&amp;$G$1),INDIRECT("'数据-取费表'!ah"&amp;$G$1))</f>
        <v>5605.5</v>
      </c>
      <c r="G7" s="1384"/>
      <c r="H7" s="304"/>
      <c r="I7" s="3822"/>
      <c r="J7" s="306"/>
      <c r="K7" s="307"/>
      <c r="L7" s="302" t="s">
        <v>697</v>
      </c>
      <c r="M7" s="303">
        <f ca="1">F7</f>
        <v>5605.5</v>
      </c>
    </row>
    <row r="8" spans="1:37" ht="18" customHeight="1">
      <c r="A8" s="304"/>
      <c r="B8" s="3822"/>
      <c r="C8" s="306"/>
      <c r="D8" s="307"/>
      <c r="E8" s="302" t="s">
        <v>698</v>
      </c>
      <c r="F8" s="303">
        <f ca="1">INDIRECT("'数据-取费表'!ai"&amp;$G$1)</f>
        <v>365</v>
      </c>
      <c r="G8" s="1384"/>
      <c r="H8" s="304"/>
      <c r="I8" s="3822"/>
      <c r="J8" s="306"/>
      <c r="K8" s="307"/>
      <c r="L8" s="302" t="s">
        <v>698</v>
      </c>
      <c r="M8" s="303">
        <f ca="1">INDIRECT("'数据-取费表'!ai"&amp;$G$1)</f>
        <v>365</v>
      </c>
    </row>
    <row r="9" spans="1:37" ht="18" customHeight="1">
      <c r="A9" s="304"/>
      <c r="B9" s="3823"/>
      <c r="C9" s="306"/>
      <c r="D9" s="307"/>
      <c r="E9" s="302" t="s">
        <v>699</v>
      </c>
      <c r="F9" s="312">
        <f ca="1">INDIRECT("'数据-取费表'!w"&amp;$G$1)</f>
        <v>0.1</v>
      </c>
      <c r="G9" s="1384"/>
      <c r="H9" s="304"/>
      <c r="I9" s="3823"/>
      <c r="J9" s="306"/>
      <c r="K9" s="307"/>
      <c r="L9" s="313" t="s">
        <v>699</v>
      </c>
      <c r="M9" s="314">
        <f ca="1">INDIRECT("'数据-取费表'!ab"&amp;$G$1)</f>
        <v>0</v>
      </c>
    </row>
    <row r="10" spans="1:37" ht="18" customHeight="1">
      <c r="A10" s="1069" t="s">
        <v>402</v>
      </c>
      <c r="B10" s="1365" t="s">
        <v>700</v>
      </c>
      <c r="C10" s="316">
        <f ca="1">ROUND(IF(F10="押一",C6/12*F11,IF(F10="押二",C6/12*2*F11,IF(F10="押三",C6/12*3*F11,C11*F11))),0)</f>
        <v>4604</v>
      </c>
      <c r="D10" s="1366" t="s">
        <v>2116</v>
      </c>
      <c r="E10" s="313" t="s">
        <v>701</v>
      </c>
      <c r="F10" s="1116" t="s">
        <v>3392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17763784</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16816500</v>
      </c>
      <c r="D14" s="1345" t="s">
        <v>708</v>
      </c>
      <c r="E14" s="1342"/>
      <c r="F14" s="319"/>
      <c r="G14" s="1384"/>
      <c r="H14" s="982" t="s">
        <v>398</v>
      </c>
      <c r="I14" s="302" t="s">
        <v>709</v>
      </c>
      <c r="J14" s="21">
        <f ca="1">C29</f>
        <v>22774082</v>
      </c>
      <c r="K14" s="12"/>
      <c r="L14" s="807"/>
      <c r="M14" s="808"/>
    </row>
    <row r="15" spans="1:37" s="1397" customFormat="1" ht="18" customHeight="1" thickBot="1">
      <c r="A15" s="982" t="s">
        <v>399</v>
      </c>
      <c r="B15" s="302" t="s">
        <v>710</v>
      </c>
      <c r="C15" s="21">
        <f ca="1">ROUND(C14*F15,0)</f>
        <v>504495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227741</v>
      </c>
      <c r="K16" s="1087" t="s">
        <v>715</v>
      </c>
      <c r="L16" s="1088"/>
      <c r="M16" s="1072"/>
    </row>
    <row r="17" spans="1:37" s="1397" customFormat="1" ht="18" customHeight="1">
      <c r="A17" s="982" t="s">
        <v>681</v>
      </c>
      <c r="B17" s="302" t="s">
        <v>716</v>
      </c>
      <c r="C17" s="21">
        <f ca="1">ROUND(F17*(F43+INDIRECT("'数据-取费表'!S"&amp;$G$1)),0)</f>
        <v>1065045</v>
      </c>
      <c r="D17" s="302" t="s">
        <v>717</v>
      </c>
      <c r="E17" s="302" t="s">
        <v>718</v>
      </c>
      <c r="F17" s="23">
        <f>'数据-取费表'!B35</f>
        <v>190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252248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18638288</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372766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227741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413491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-227741</v>
      </c>
      <c r="K25" s="1095" t="s">
        <v>753</v>
      </c>
      <c r="L25" s="1096"/>
      <c r="M25" s="1097"/>
    </row>
    <row r="26" spans="1:37" ht="18" customHeight="1">
      <c r="A26" s="982" t="s">
        <v>397</v>
      </c>
      <c r="B26" s="302" t="s">
        <v>754</v>
      </c>
      <c r="C26" s="21">
        <f ca="1">ROUND((C19+C20)*F26,0)</f>
        <v>1901105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22774082</v>
      </c>
      <c r="D29" s="1092"/>
      <c r="E29" s="1090"/>
      <c r="F29" s="1093"/>
      <c r="G29" s="1396"/>
      <c r="H29" s="334" t="s">
        <v>396</v>
      </c>
      <c r="I29" s="335" t="s">
        <v>768</v>
      </c>
      <c r="J29" s="336">
        <f ca="1">ROUND(J26/(1+F40)^F41,0)</f>
        <v>0</v>
      </c>
      <c r="K29" s="337" t="s">
        <v>769</v>
      </c>
      <c r="L29" s="338"/>
      <c r="M29" s="339">
        <f ca="1">INDIRECT("'数据-取费表'!k"&amp;$G$1)</f>
        <v>5605.5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896181</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613802</v>
      </c>
      <c r="D31" s="1345" t="s">
        <v>720</v>
      </c>
      <c r="E31" s="1344" t="s">
        <v>770</v>
      </c>
      <c r="F31" s="2315" t="str">
        <f>IF(项目基本情况!B11="企业","——",IF(M47="住宅",IF(F6*F7*F8/12/(1+'数据-取费表'!F30)&gt;100000,4%,2.5%),IF(F6*F7*F8/12/(1+'数据-取费表'!F30)&gt;100000,12%,7%)))</f>
        <v>——</v>
      </c>
      <c r="G31" s="1384"/>
      <c r="H31" s="2806" t="s">
        <v>2308</v>
      </c>
      <c r="I31" s="1398"/>
      <c r="J31" s="1399"/>
      <c r="K31" s="2473"/>
      <c r="L31" s="2696"/>
      <c r="M31" s="2697"/>
    </row>
    <row r="32" spans="1:37" ht="18" customHeight="1">
      <c r="A32" s="982" t="s">
        <v>397</v>
      </c>
      <c r="B32" s="302" t="s">
        <v>723</v>
      </c>
      <c r="C32" s="21">
        <f ca="1">IF(项目基本情况!B11="自然人","——",ROUND(C6*F32/(1+'数据-取费表'!C42),0))</f>
        <v>192909</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420893</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227741</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17764</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36874</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2791237</v>
      </c>
      <c r="D39" s="1095" t="s">
        <v>773</v>
      </c>
      <c r="E39" s="1096"/>
      <c r="F39" s="1097"/>
      <c r="G39" s="1384"/>
      <c r="H39" s="2698"/>
      <c r="I39" s="1398"/>
      <c r="J39" s="1399"/>
      <c r="K39" s="2702"/>
      <c r="L39" s="2698"/>
      <c r="M39" s="2698"/>
    </row>
    <row r="40" spans="1:18" ht="18" customHeight="1">
      <c r="A40" s="299" t="s">
        <v>395</v>
      </c>
      <c r="B40" s="300" t="s">
        <v>774</v>
      </c>
      <c r="C40" s="301">
        <f ca="1">ROUND(C39*(1-((1+F42)/(1+F40))^F41)/(F40-F42),0)</f>
        <v>67693673</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34.51</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12076</v>
      </c>
      <c r="D43" s="337" t="s">
        <v>777</v>
      </c>
      <c r="E43" s="338" t="s">
        <v>778</v>
      </c>
      <c r="F43" s="339">
        <f ca="1">INDIRECT("'数据-取费表'!k"&amp;$G$1)</f>
        <v>5605.5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f ca="1">ROUND((C68-C40)/10000,4)</f>
        <v>-7169.2082</v>
      </c>
      <c r="D45" s="3430" t="s">
        <v>3357</v>
      </c>
      <c r="E45" s="1400"/>
      <c r="F45" s="1400"/>
      <c r="O45" s="1403" t="s">
        <v>808</v>
      </c>
      <c r="P45" s="1461"/>
      <c r="Q45" s="1461"/>
      <c r="R45" s="1461"/>
    </row>
    <row r="46" spans="1:18" s="1384" customFormat="1" ht="13.5" thickBot="1">
      <c r="A46" s="1404" t="s">
        <v>809</v>
      </c>
      <c r="C46" s="1405">
        <f ca="1">ROUND(C45,0)</f>
        <v>-7169</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3393</v>
      </c>
      <c r="K47" s="1416" t="s">
        <v>816</v>
      </c>
      <c r="L47" s="1417">
        <f ca="1">INDIRECT("'数据-取费表'!d"&amp;$G$1)</f>
        <v>50</v>
      </c>
      <c r="M47" s="1380" t="str">
        <f>IF(ISNUMBER(FIND("住宅",C1)),"住宅","非住宅")</f>
        <v>非住宅</v>
      </c>
      <c r="O47" s="1418" t="s">
        <v>403</v>
      </c>
      <c r="P47" s="1419" t="s">
        <v>817</v>
      </c>
      <c r="Q47" s="1420">
        <f ca="1">C40+J29</f>
        <v>67693673</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34.51</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2010</v>
      </c>
      <c r="K49" s="1423" t="s">
        <v>824</v>
      </c>
      <c r="L49" s="1427"/>
      <c r="O49" s="1428" t="s">
        <v>405</v>
      </c>
      <c r="P49" s="1419" t="s">
        <v>825</v>
      </c>
      <c r="Q49" s="1420">
        <f ca="1">C29</f>
        <v>22774082</v>
      </c>
      <c r="R49" s="1420" t="s">
        <v>818</v>
      </c>
    </row>
    <row r="50" spans="1:18" s="1384" customFormat="1" ht="13.5" thickBot="1">
      <c r="A50" s="976"/>
      <c r="B50" s="979"/>
      <c r="C50" s="980"/>
      <c r="D50" s="953"/>
      <c r="E50" s="1056" t="s">
        <v>697</v>
      </c>
      <c r="F50" s="1057">
        <f ca="1">F7</f>
        <v>5605.5</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32406191</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34.51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34.51</v>
      </c>
      <c r="K53" s="3819" t="s">
        <v>837</v>
      </c>
      <c r="L53" s="3820"/>
      <c r="O53" s="1418" t="s">
        <v>409</v>
      </c>
      <c r="P53" s="1419" t="s">
        <v>838</v>
      </c>
      <c r="Q53" s="1420">
        <f ca="1">Q47+Q48</f>
        <v>67693673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17763784</v>
      </c>
      <c r="D56" s="1447"/>
      <c r="E56" s="1448"/>
      <c r="F56" s="1440"/>
      <c r="I56" s="1449" t="s">
        <v>842</v>
      </c>
      <c r="J56" s="1450" t="s">
        <v>3388</v>
      </c>
      <c r="K56" s="1421" t="s">
        <v>843</v>
      </c>
      <c r="L56" s="1424" t="str">
        <f ca="1">IF(L48&lt;J51,"——",L48-J51)</f>
        <v>——</v>
      </c>
      <c r="O56" s="1418" t="s">
        <v>403</v>
      </c>
      <c r="P56" s="1419" t="s">
        <v>817</v>
      </c>
      <c r="Q56" s="1420">
        <f ca="1">C40+J29</f>
        <v>67693673</v>
      </c>
      <c r="R56" s="1420" t="s">
        <v>818</v>
      </c>
    </row>
    <row r="57" spans="1:18" s="1384" customFormat="1" ht="24.75" thickBot="1">
      <c r="A57" s="1451"/>
      <c r="B57" s="950" t="s">
        <v>767</v>
      </c>
      <c r="C57" s="238">
        <f ca="1">C29</f>
        <v>22774082</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245505</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67693673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227741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17764</v>
      </c>
      <c r="D65" s="964" t="s">
        <v>743</v>
      </c>
      <c r="E65" s="950" t="s">
        <v>744</v>
      </c>
      <c r="F65" s="330">
        <f t="shared" ca="1" si="0"/>
        <v>1E-3</v>
      </c>
      <c r="I65" s="1462" t="s">
        <v>867</v>
      </c>
      <c r="J65" s="1463">
        <v>40</v>
      </c>
      <c r="K65" s="1463">
        <v>30</v>
      </c>
      <c r="L65" s="1463">
        <v>50</v>
      </c>
      <c r="M65" s="1465">
        <v>0.02</v>
      </c>
      <c r="O65" s="1418" t="s">
        <v>403</v>
      </c>
      <c r="P65" s="1419" t="s">
        <v>868</v>
      </c>
      <c r="Q65" s="1420">
        <f ca="1">C40+J29</f>
        <v>67693673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-245505</v>
      </c>
      <c r="D67" s="963" t="s">
        <v>753</v>
      </c>
      <c r="E67" s="968"/>
      <c r="F67" s="969"/>
      <c r="O67" s="1428" t="s">
        <v>405</v>
      </c>
      <c r="P67" s="1419" t="s">
        <v>850</v>
      </c>
      <c r="Q67" s="1466">
        <f ca="1">L51</f>
        <v>32406191</v>
      </c>
      <c r="R67" s="1420" t="s">
        <v>870</v>
      </c>
    </row>
    <row r="68" spans="1:18" s="1384" customFormat="1" ht="16.5" thickBot="1">
      <c r="A68" s="947" t="s">
        <v>395</v>
      </c>
      <c r="B68" s="948" t="s">
        <v>774</v>
      </c>
      <c r="C68" s="301">
        <f ca="1">ROUND(C67*(1-((1+F70)/(1+F68))^F69)/(F68-F70),0)</f>
        <v>-3998409</v>
      </c>
      <c r="D68" s="965" t="s">
        <v>758</v>
      </c>
      <c r="E68" s="950" t="s">
        <v>759</v>
      </c>
      <c r="F68" s="312">
        <f ca="1">F40</f>
        <v>0.05</v>
      </c>
      <c r="O68" s="1428" t="s">
        <v>406</v>
      </c>
      <c r="P68" s="1467" t="s">
        <v>871</v>
      </c>
      <c r="Q68" s="1420">
        <f ca="1">ROUND(Q69-Q70*Q71,0)</f>
        <v>1814229</v>
      </c>
      <c r="R68" s="1420" t="s">
        <v>414</v>
      </c>
    </row>
    <row r="69" spans="1:18" s="1384" customFormat="1" ht="13.5" thickBot="1">
      <c r="A69" s="951"/>
      <c r="B69" s="952"/>
      <c r="C69" s="306"/>
      <c r="D69" s="970" t="s">
        <v>762</v>
      </c>
      <c r="E69" s="950" t="s">
        <v>763</v>
      </c>
      <c r="F69" s="333">
        <f ca="1">F41</f>
        <v>34.51</v>
      </c>
      <c r="O69" s="1428" t="s">
        <v>411</v>
      </c>
      <c r="P69" s="1467" t="s">
        <v>872</v>
      </c>
      <c r="Q69" s="1420">
        <f ca="1">C39</f>
        <v>2791237</v>
      </c>
      <c r="R69" s="1420" t="s">
        <v>818</v>
      </c>
    </row>
    <row r="70" spans="1:18" s="1384" customFormat="1" ht="13.5" thickBot="1">
      <c r="A70" s="954"/>
      <c r="B70" s="955"/>
      <c r="C70" s="310"/>
      <c r="D70" s="966"/>
      <c r="E70" s="950" t="s">
        <v>766</v>
      </c>
      <c r="F70" s="1054"/>
      <c r="O70" s="1428" t="s">
        <v>412</v>
      </c>
      <c r="P70" s="1467" t="s">
        <v>873</v>
      </c>
      <c r="Q70" s="1420">
        <f ca="1">C13</f>
        <v>17763784</v>
      </c>
      <c r="R70" s="1420" t="s">
        <v>818</v>
      </c>
    </row>
    <row r="71" spans="1:18" s="1384" customFormat="1" ht="13.5" thickBot="1">
      <c r="A71" s="971" t="s">
        <v>396</v>
      </c>
      <c r="B71" s="972" t="s">
        <v>776</v>
      </c>
      <c r="C71" s="336">
        <f ca="1">ROUND(C68/F71,0)</f>
        <v>-713</v>
      </c>
      <c r="D71" s="973" t="s">
        <v>777</v>
      </c>
      <c r="E71" s="974" t="s">
        <v>778</v>
      </c>
      <c r="F71" s="339">
        <f ca="1">F43</f>
        <v>5605.5</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977008</v>
      </c>
      <c r="D75" s="1384"/>
      <c r="E75" s="1384"/>
      <c r="F75" s="1384"/>
      <c r="K75" s="1402"/>
      <c r="L75" s="1384"/>
      <c r="O75" s="1418" t="s">
        <v>409</v>
      </c>
      <c r="P75" s="1419" t="s">
        <v>838</v>
      </c>
      <c r="Q75" s="1420">
        <f ca="1">Q65+Q66</f>
        <v>67693673</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v>
      </c>
    </row>
    <row r="80" spans="1:18">
      <c r="B80" s="340" t="s">
        <v>800</v>
      </c>
      <c r="C80" s="274">
        <f ca="1">ROUND(C75/C39,3)</f>
        <v>0.35</v>
      </c>
    </row>
    <row r="81" spans="2:3">
      <c r="B81" s="270" t="s">
        <v>801</v>
      </c>
      <c r="C81" s="238"/>
    </row>
    <row r="82" spans="2:3">
      <c r="B82" s="273" t="s">
        <v>802</v>
      </c>
      <c r="C82" s="275">
        <f ca="1">1-C83</f>
        <v>0.73799999999999999</v>
      </c>
    </row>
    <row r="83" spans="2:3">
      <c r="B83" s="273" t="s">
        <v>803</v>
      </c>
      <c r="C83" s="274">
        <f ca="1">ROUND(C13/C40,3)</f>
        <v>0.26200000000000001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3363</v>
      </c>
      <c r="E2" s="3442"/>
      <c r="F2" s="2844"/>
      <c r="G2" s="2845"/>
      <c r="H2" s="2846"/>
      <c r="I2" s="2847"/>
      <c r="J2" s="3824" t="s">
        <v>2318</v>
      </c>
      <c r="K2" s="3825"/>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826" t="s">
        <v>2328</v>
      </c>
      <c r="K3" s="3827"/>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826" t="s">
        <v>2330</v>
      </c>
      <c r="K4" s="3827"/>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828" t="s">
        <v>2334</v>
      </c>
      <c r="B6" s="3829"/>
      <c r="C6" s="3830"/>
      <c r="D6" s="2868"/>
      <c r="E6" s="2869"/>
      <c r="F6" s="2870"/>
      <c r="G6" s="2871"/>
      <c r="H6" s="2846"/>
      <c r="I6" s="2847"/>
      <c r="J6" s="3831">
        <v>1</v>
      </c>
      <c r="K6" s="3832"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831"/>
      <c r="K7" s="3833"/>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835" t="s">
        <v>2348</v>
      </c>
      <c r="C8" s="3836"/>
      <c r="D8" s="2887" t="s">
        <v>2349</v>
      </c>
      <c r="E8" s="2888" t="s">
        <v>2350</v>
      </c>
      <c r="F8" s="2889" t="s">
        <v>2351</v>
      </c>
      <c r="G8" s="2890"/>
      <c r="H8" s="2846"/>
      <c r="I8" s="2847"/>
      <c r="J8" s="3831"/>
      <c r="K8" s="3833"/>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835" t="s">
        <v>2354</v>
      </c>
      <c r="C9" s="3836"/>
      <c r="D9" s="2887">
        <f>ROUND(D6*E9,0)</f>
        <v>0</v>
      </c>
      <c r="E9" s="2891"/>
      <c r="F9" s="2892" t="s">
        <v>2355</v>
      </c>
      <c r="G9" s="2871"/>
      <c r="H9" s="2846"/>
      <c r="I9" s="2847"/>
      <c r="J9" s="3831"/>
      <c r="K9" s="3833"/>
      <c r="L9" s="2881" t="s">
        <v>2356</v>
      </c>
      <c r="M9" s="2882"/>
      <c r="N9" s="2858"/>
      <c r="O9" s="2883"/>
      <c r="P9" s="2883"/>
      <c r="Q9" s="2884">
        <v>365</v>
      </c>
      <c r="R9" s="2885">
        <f t="shared" si="0"/>
        <v>0</v>
      </c>
      <c r="S9" s="2839"/>
      <c r="T9" s="2839"/>
      <c r="U9" s="2839"/>
      <c r="V9" s="2847"/>
    </row>
    <row r="10" spans="1:22" s="2851" customFormat="1" ht="13.15" customHeight="1">
      <c r="A10" s="2886">
        <v>2</v>
      </c>
      <c r="B10" s="3835" t="s">
        <v>2357</v>
      </c>
      <c r="C10" s="3836"/>
      <c r="D10" s="2887">
        <f>ROUND(D6*E10,0)</f>
        <v>0</v>
      </c>
      <c r="E10" s="2891"/>
      <c r="F10" s="2892" t="s">
        <v>2358</v>
      </c>
      <c r="G10" s="2871"/>
      <c r="H10" s="2846"/>
      <c r="I10" s="2847"/>
      <c r="J10" s="3831"/>
      <c r="K10" s="3833"/>
      <c r="L10" s="2881" t="s">
        <v>2359</v>
      </c>
      <c r="M10" s="2882"/>
      <c r="N10" s="2858"/>
      <c r="O10" s="2883"/>
      <c r="P10" s="2883"/>
      <c r="Q10" s="2884">
        <v>365</v>
      </c>
      <c r="R10" s="2885">
        <f t="shared" si="0"/>
        <v>0</v>
      </c>
      <c r="S10" s="2839"/>
      <c r="T10" s="2839"/>
      <c r="U10" s="2839"/>
      <c r="V10" s="2847"/>
    </row>
    <row r="11" spans="1:22" s="2851" customFormat="1" ht="13.15" customHeight="1">
      <c r="A11" s="2886">
        <v>3</v>
      </c>
      <c r="B11" s="3835" t="s">
        <v>2360</v>
      </c>
      <c r="C11" s="3836"/>
      <c r="D11" s="2887">
        <f>D12+D14+D15+D16</f>
        <v>0</v>
      </c>
      <c r="E11" s="2893" t="e">
        <f>D11/D6</f>
        <v>#DIV/0!</v>
      </c>
      <c r="F11" s="2889"/>
      <c r="G11" s="2890"/>
      <c r="H11" s="2846"/>
      <c r="I11" s="2847"/>
      <c r="J11" s="3831"/>
      <c r="K11" s="3833"/>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837" t="s">
        <v>2363</v>
      </c>
      <c r="C12" s="3838"/>
      <c r="D12" s="2895">
        <f>ROUND(D13*1.2%*(1-30%),0)</f>
        <v>0</v>
      </c>
      <c r="E12" s="2896">
        <v>1.2E-2</v>
      </c>
      <c r="F12" s="2889" t="s">
        <v>2364</v>
      </c>
      <c r="G12" s="2890"/>
      <c r="H12" s="2846"/>
      <c r="I12" s="2847"/>
      <c r="J12" s="3831"/>
      <c r="K12" s="3833"/>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831"/>
      <c r="K13" s="3833"/>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837" t="s">
        <v>2369</v>
      </c>
      <c r="C14" s="3838"/>
      <c r="D14" s="2895">
        <f>ROUND(E14*B5/10000,0)</f>
        <v>0</v>
      </c>
      <c r="E14" s="2884"/>
      <c r="F14" s="2889" t="s">
        <v>2370</v>
      </c>
      <c r="G14" s="2890"/>
      <c r="H14" s="2846"/>
      <c r="I14" s="2847"/>
      <c r="J14" s="3831"/>
      <c r="K14" s="3834"/>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837" t="s">
        <v>2373</v>
      </c>
      <c r="C15" s="3838"/>
      <c r="D15" s="2895">
        <f>ROUND(D6*E15,0)</f>
        <v>0</v>
      </c>
      <c r="E15" s="2896">
        <v>5.5E-2</v>
      </c>
      <c r="F15" s="2889" t="s">
        <v>2374</v>
      </c>
      <c r="G15" s="2871"/>
      <c r="H15" s="2846"/>
      <c r="I15" s="2847"/>
      <c r="J15" s="3831">
        <v>2</v>
      </c>
      <c r="K15" s="3832"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837" t="s">
        <v>2382</v>
      </c>
      <c r="C16" s="3838"/>
      <c r="D16" s="2906">
        <f>D6*E16</f>
        <v>0</v>
      </c>
      <c r="E16" s="2907"/>
      <c r="F16" s="2892" t="s">
        <v>2383</v>
      </c>
      <c r="G16" s="2871"/>
      <c r="H16" s="2846"/>
      <c r="I16" s="2847"/>
      <c r="J16" s="3831"/>
      <c r="K16" s="3833"/>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839" t="s">
        <v>2385</v>
      </c>
      <c r="C17" s="3840"/>
      <c r="D17" s="2909">
        <f>ROUND(D6*E17,0)</f>
        <v>0</v>
      </c>
      <c r="E17" s="2910"/>
      <c r="F17" s="2911" t="s">
        <v>2386</v>
      </c>
      <c r="G17" s="2871"/>
      <c r="H17" s="2846"/>
      <c r="I17" s="2847"/>
      <c r="J17" s="3831"/>
      <c r="K17" s="3833"/>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831"/>
      <c r="K18" s="3833"/>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831"/>
      <c r="K19" s="3834"/>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831">
        <v>3</v>
      </c>
      <c r="K20" s="3832"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831"/>
      <c r="K21" s="3833"/>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831"/>
      <c r="K22" s="3833"/>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831"/>
      <c r="K23" s="3833"/>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831"/>
      <c r="K24" s="3834"/>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841">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84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824" t="s">
        <v>2318</v>
      </c>
      <c r="K32" s="3825"/>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826" t="s">
        <v>2328</v>
      </c>
      <c r="K33" s="3827"/>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826" t="s">
        <v>2330</v>
      </c>
      <c r="K34" s="382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831">
        <v>1</v>
      </c>
      <c r="K36" s="3832"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831"/>
      <c r="K37" s="3833"/>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831"/>
      <c r="K38" s="3833"/>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831"/>
      <c r="K39" s="3833"/>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831"/>
      <c r="K40" s="3834"/>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841">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84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 type="list" allowBlank="1" showInputMessage="1" showErrorMessage="1" sqref="D2" xr:uid="{00000000-0002-0000-15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6769.3672999999999</v>
      </c>
      <c r="C2" s="1872" t="s">
        <v>1651</v>
      </c>
      <c r="D2" s="1873" t="s">
        <v>1652</v>
      </c>
      <c r="E2" s="2605">
        <f>SUM(E6:E13)</f>
        <v>5605.5</v>
      </c>
      <c r="F2" s="2705"/>
      <c r="G2" s="1489"/>
      <c r="H2" s="1489"/>
      <c r="I2" s="1489"/>
      <c r="J2" s="1489"/>
      <c r="K2" s="1489"/>
      <c r="L2" s="1489"/>
      <c r="M2" s="1489"/>
      <c r="N2" s="1489"/>
      <c r="O2" s="1489"/>
      <c r="P2" s="1489"/>
      <c r="Q2" s="1489"/>
      <c r="R2" s="1489"/>
      <c r="S2" s="1489"/>
    </row>
    <row r="3" spans="1:22" ht="15.75">
      <c r="A3" s="1870" t="s">
        <v>686</v>
      </c>
      <c r="B3" s="2599">
        <f ca="1">ROUND(B2*10000/E2,0)</f>
        <v>12076</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843" t="s">
        <v>1654</v>
      </c>
      <c r="C5" s="3844"/>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6769.3672999999999</v>
      </c>
      <c r="C6" s="1872" t="s">
        <v>1651</v>
      </c>
      <c r="D6" s="2707"/>
      <c r="E6" s="2604">
        <f>IF(OR(A6=0,F6="否"),0,'数据-取费表'!K6+'数据-取费表'!S6)</f>
        <v>5605.5</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5605.5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863" t="s">
        <v>1667</v>
      </c>
      <c r="D4" s="3864"/>
      <c r="E4" s="3865" t="s">
        <v>1668</v>
      </c>
      <c r="F4" s="3866"/>
      <c r="G4" s="3863" t="s">
        <v>1669</v>
      </c>
      <c r="H4" s="3864"/>
      <c r="I4" s="3863" t="s">
        <v>1670</v>
      </c>
      <c r="J4" s="3864"/>
      <c r="K4" s="1889" t="s">
        <v>1671</v>
      </c>
      <c r="L4" s="2713"/>
      <c r="M4" s="2714"/>
      <c r="N4" s="2714"/>
      <c r="O4" s="2714"/>
      <c r="P4" s="3867" t="s">
        <v>1672</v>
      </c>
      <c r="Q4" s="3868"/>
      <c r="R4" s="3850" t="s">
        <v>1668</v>
      </c>
      <c r="S4" s="3851"/>
      <c r="T4" s="3850" t="s">
        <v>1669</v>
      </c>
      <c r="U4" s="3851"/>
      <c r="V4" s="3875" t="s">
        <v>1670</v>
      </c>
      <c r="W4" s="3875"/>
      <c r="X4" s="1355"/>
      <c r="Y4" s="3850" t="s">
        <v>1672</v>
      </c>
      <c r="Z4" s="3851"/>
      <c r="AA4" s="3845" t="s">
        <v>1668</v>
      </c>
      <c r="AB4" s="3845" t="s">
        <v>1669</v>
      </c>
      <c r="AC4" s="3845" t="s">
        <v>1670</v>
      </c>
    </row>
    <row r="5" spans="1:29" ht="15">
      <c r="A5" s="358"/>
      <c r="B5" s="359"/>
      <c r="C5" s="3856" t="s">
        <v>1673</v>
      </c>
      <c r="D5" s="3857"/>
      <c r="E5" s="3854" t="s">
        <v>1674</v>
      </c>
      <c r="F5" s="3855"/>
      <c r="G5" s="3856" t="s">
        <v>1675</v>
      </c>
      <c r="H5" s="3857"/>
      <c r="I5" s="3856" t="s">
        <v>1676</v>
      </c>
      <c r="J5" s="3857"/>
      <c r="K5" s="1890"/>
      <c r="L5" s="2713"/>
      <c r="M5" s="2714"/>
      <c r="N5" s="2714"/>
      <c r="O5" s="2714"/>
      <c r="P5" s="3869"/>
      <c r="Q5" s="3870"/>
      <c r="R5" s="3852"/>
      <c r="S5" s="3853"/>
      <c r="T5" s="3852"/>
      <c r="U5" s="3853"/>
      <c r="V5" s="3875"/>
      <c r="W5" s="3875"/>
      <c r="X5" s="1355"/>
      <c r="Y5" s="3852"/>
      <c r="Z5" s="3853"/>
      <c r="AA5" s="3846"/>
      <c r="AB5" s="3846"/>
      <c r="AC5" s="3846"/>
    </row>
    <row r="6" spans="1:29" ht="15.75" thickBot="1">
      <c r="A6" s="360"/>
      <c r="B6" s="361"/>
      <c r="C6" s="3858" t="s">
        <v>1677</v>
      </c>
      <c r="D6" s="3859"/>
      <c r="E6" s="3860" t="s">
        <v>1677</v>
      </c>
      <c r="F6" s="3861"/>
      <c r="G6" s="3858" t="s">
        <v>1677</v>
      </c>
      <c r="H6" s="3859"/>
      <c r="I6" s="3858" t="s">
        <v>1677</v>
      </c>
      <c r="J6" s="3859"/>
      <c r="K6" s="1890" t="s">
        <v>1678</v>
      </c>
      <c r="L6" s="2713"/>
      <c r="M6" s="2714"/>
      <c r="N6" s="2714"/>
      <c r="O6" s="2714"/>
      <c r="P6" s="3871"/>
      <c r="Q6" s="3872"/>
      <c r="R6" s="3852"/>
      <c r="S6" s="3853"/>
      <c r="T6" s="3873"/>
      <c r="U6" s="3874"/>
      <c r="V6" s="3875"/>
      <c r="W6" s="3875"/>
      <c r="X6" s="1355"/>
      <c r="Y6" s="3873"/>
      <c r="Z6" s="3874"/>
      <c r="AA6" s="3847"/>
      <c r="AB6" s="3847"/>
      <c r="AC6" s="3847"/>
    </row>
    <row r="7" spans="1:29" s="108" customFormat="1" ht="15.75" thickBot="1">
      <c r="A7" s="362" t="s">
        <v>1679</v>
      </c>
      <c r="B7" s="363"/>
      <c r="C7" s="364">
        <f>'数据-取费表'!B2</f>
        <v>45056</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848" t="s">
        <v>1680</v>
      </c>
      <c r="Q7" s="3876"/>
      <c r="R7" s="701" t="s">
        <v>20</v>
      </c>
      <c r="S7" s="702">
        <f t="shared" ref="S7:S15" si="0">F7</f>
        <v>0</v>
      </c>
      <c r="T7" s="701" t="s">
        <v>20</v>
      </c>
      <c r="U7" s="702">
        <f t="shared" ref="U7:U15" si="1">H7</f>
        <v>0</v>
      </c>
      <c r="V7" s="701" t="s">
        <v>20</v>
      </c>
      <c r="W7" s="702">
        <f t="shared" ref="W7:W15" si="2">J7</f>
        <v>0</v>
      </c>
      <c r="X7" s="703"/>
      <c r="Y7" s="3848" t="s">
        <v>1680</v>
      </c>
      <c r="Z7" s="384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848" t="s">
        <v>1683</v>
      </c>
      <c r="Q8" s="3849"/>
      <c r="R8" s="701" t="s">
        <v>20</v>
      </c>
      <c r="S8" s="702">
        <f t="shared" si="0"/>
        <v>100</v>
      </c>
      <c r="T8" s="701" t="s">
        <v>20</v>
      </c>
      <c r="U8" s="702">
        <f t="shared" si="1"/>
        <v>100</v>
      </c>
      <c r="V8" s="701" t="s">
        <v>20</v>
      </c>
      <c r="W8" s="702">
        <f t="shared" si="2"/>
        <v>100</v>
      </c>
      <c r="X8" s="703"/>
      <c r="Y8" s="3848" t="s">
        <v>1683</v>
      </c>
      <c r="Z8" s="384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862" t="s">
        <v>1686</v>
      </c>
      <c r="Q9" s="1343" t="str">
        <f t="shared" ref="Q9:Q15" si="6">B9</f>
        <v>用途</v>
      </c>
      <c r="R9" s="701" t="s">
        <v>14</v>
      </c>
      <c r="S9" s="702">
        <f t="shared" si="0"/>
        <v>100</v>
      </c>
      <c r="T9" s="701" t="s">
        <v>14</v>
      </c>
      <c r="U9" s="702">
        <f t="shared" si="1"/>
        <v>100</v>
      </c>
      <c r="V9" s="701" t="s">
        <v>14</v>
      </c>
      <c r="W9" s="702">
        <f t="shared" si="2"/>
        <v>100</v>
      </c>
      <c r="X9" s="703"/>
      <c r="Y9" s="379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862"/>
      <c r="Q10" s="1343" t="str">
        <f t="shared" si="6"/>
        <v>土地使用年限（年）</v>
      </c>
      <c r="R10" s="701" t="s">
        <v>14</v>
      </c>
      <c r="S10" s="702">
        <f t="shared" si="0"/>
        <v>100</v>
      </c>
      <c r="T10" s="701" t="s">
        <v>14</v>
      </c>
      <c r="U10" s="702">
        <f t="shared" si="1"/>
        <v>100</v>
      </c>
      <c r="V10" s="701" t="s">
        <v>14</v>
      </c>
      <c r="W10" s="702">
        <f t="shared" si="2"/>
        <v>100</v>
      </c>
      <c r="X10" s="703"/>
      <c r="Y10" s="379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862"/>
      <c r="Q11" s="1343" t="str">
        <f t="shared" si="6"/>
        <v>容积率</v>
      </c>
      <c r="R11" s="701" t="s">
        <v>18</v>
      </c>
      <c r="S11" s="702" t="e">
        <f t="shared" si="0"/>
        <v>#N/A</v>
      </c>
      <c r="T11" s="701" t="s">
        <v>18</v>
      </c>
      <c r="U11" s="702" t="e">
        <f t="shared" si="1"/>
        <v>#N/A</v>
      </c>
      <c r="V11" s="701" t="s">
        <v>18</v>
      </c>
      <c r="W11" s="702" t="e">
        <f t="shared" si="2"/>
        <v>#N/A</v>
      </c>
      <c r="X11" s="703"/>
      <c r="Y11" s="379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862"/>
      <c r="Q12" s="1343">
        <f t="shared" si="6"/>
        <v>111</v>
      </c>
      <c r="R12" s="701" t="s">
        <v>18</v>
      </c>
      <c r="S12" s="702">
        <f t="shared" si="0"/>
        <v>100</v>
      </c>
      <c r="T12" s="701" t="s">
        <v>18</v>
      </c>
      <c r="U12" s="702">
        <f t="shared" si="1"/>
        <v>100</v>
      </c>
      <c r="V12" s="701" t="s">
        <v>18</v>
      </c>
      <c r="W12" s="702">
        <f t="shared" si="2"/>
        <v>100</v>
      </c>
      <c r="X12" s="703"/>
      <c r="Y12" s="379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862"/>
      <c r="Q13" s="1343">
        <f t="shared" si="6"/>
        <v>111</v>
      </c>
      <c r="R13" s="701" t="s">
        <v>18</v>
      </c>
      <c r="S13" s="702">
        <f t="shared" si="0"/>
        <v>100</v>
      </c>
      <c r="T13" s="701" t="s">
        <v>18</v>
      </c>
      <c r="U13" s="702">
        <f t="shared" si="1"/>
        <v>100</v>
      </c>
      <c r="V13" s="701" t="s">
        <v>18</v>
      </c>
      <c r="W13" s="702">
        <f t="shared" si="2"/>
        <v>100</v>
      </c>
      <c r="X13" s="703"/>
      <c r="Y13" s="379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862"/>
      <c r="Q14" s="1343">
        <f t="shared" si="6"/>
        <v>111</v>
      </c>
      <c r="R14" s="701" t="s">
        <v>18</v>
      </c>
      <c r="S14" s="702">
        <f t="shared" si="0"/>
        <v>100</v>
      </c>
      <c r="T14" s="701" t="s">
        <v>18</v>
      </c>
      <c r="U14" s="702">
        <f t="shared" si="1"/>
        <v>100</v>
      </c>
      <c r="V14" s="701" t="s">
        <v>18</v>
      </c>
      <c r="W14" s="702">
        <f t="shared" si="2"/>
        <v>100</v>
      </c>
      <c r="X14" s="703"/>
      <c r="Y14" s="379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889" t="s">
        <v>1691</v>
      </c>
      <c r="Q15" s="1352" t="str">
        <f t="shared" si="6"/>
        <v>居住社区成熟度</v>
      </c>
      <c r="R15" s="705" t="s">
        <v>18</v>
      </c>
      <c r="S15" s="706">
        <f t="shared" si="0"/>
        <v>100</v>
      </c>
      <c r="T15" s="705" t="s">
        <v>18</v>
      </c>
      <c r="U15" s="706">
        <f t="shared" si="1"/>
        <v>100</v>
      </c>
      <c r="V15" s="705" t="s">
        <v>18</v>
      </c>
      <c r="W15" s="706">
        <f t="shared" si="2"/>
        <v>100</v>
      </c>
      <c r="X15" s="1355"/>
      <c r="Y15" s="388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890"/>
      <c r="Q16" s="1352"/>
      <c r="R16" s="705"/>
      <c r="S16" s="706"/>
      <c r="T16" s="705"/>
      <c r="U16" s="706"/>
      <c r="V16" s="705"/>
      <c r="W16" s="706"/>
      <c r="X16" s="1355"/>
      <c r="Y16" s="388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90"/>
      <c r="Q17" s="1352" t="str">
        <f>B17</f>
        <v>交通便捷度</v>
      </c>
      <c r="R17" s="705" t="s">
        <v>18</v>
      </c>
      <c r="S17" s="706">
        <f>F17</f>
        <v>100</v>
      </c>
      <c r="T17" s="705" t="s">
        <v>18</v>
      </c>
      <c r="U17" s="706">
        <f>H17</f>
        <v>100</v>
      </c>
      <c r="V17" s="705" t="s">
        <v>18</v>
      </c>
      <c r="W17" s="706">
        <f>J17</f>
        <v>100</v>
      </c>
      <c r="X17" s="1355"/>
      <c r="Y17" s="388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890"/>
      <c r="Q18" s="1352"/>
      <c r="R18" s="705"/>
      <c r="S18" s="706"/>
      <c r="T18" s="705"/>
      <c r="U18" s="706"/>
      <c r="V18" s="705"/>
      <c r="W18" s="706"/>
      <c r="X18" s="1355"/>
      <c r="Y18" s="388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90"/>
      <c r="Q19" s="1352" t="str">
        <f>B19</f>
        <v>公共配套设施</v>
      </c>
      <c r="R19" s="705" t="s">
        <v>18</v>
      </c>
      <c r="S19" s="706">
        <f>F19</f>
        <v>100</v>
      </c>
      <c r="T19" s="705" t="s">
        <v>18</v>
      </c>
      <c r="U19" s="706">
        <f>H19</f>
        <v>100</v>
      </c>
      <c r="V19" s="705" t="s">
        <v>18</v>
      </c>
      <c r="W19" s="706">
        <f>J19</f>
        <v>100</v>
      </c>
      <c r="X19" s="1355"/>
      <c r="Y19" s="388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890"/>
      <c r="Q20" s="1352"/>
      <c r="R20" s="705"/>
      <c r="S20" s="706"/>
      <c r="T20" s="705"/>
      <c r="U20" s="706"/>
      <c r="V20" s="705"/>
      <c r="W20" s="706"/>
      <c r="X20" s="1355"/>
      <c r="Y20" s="388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90"/>
      <c r="Q21" s="1352" t="str">
        <f>B21</f>
        <v>基础设施水平</v>
      </c>
      <c r="R21" s="705" t="s">
        <v>14</v>
      </c>
      <c r="S21" s="706">
        <f>F21</f>
        <v>100</v>
      </c>
      <c r="T21" s="705" t="s">
        <v>14</v>
      </c>
      <c r="U21" s="706">
        <f>H21</f>
        <v>100</v>
      </c>
      <c r="V21" s="705" t="s">
        <v>14</v>
      </c>
      <c r="W21" s="706">
        <f>J21</f>
        <v>100</v>
      </c>
      <c r="X21" s="1355"/>
      <c r="Y21" s="38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890"/>
      <c r="Q22" s="1352"/>
      <c r="R22" s="705"/>
      <c r="S22" s="706"/>
      <c r="T22" s="705"/>
      <c r="U22" s="706"/>
      <c r="V22" s="705"/>
      <c r="W22" s="706"/>
      <c r="X22" s="1355"/>
      <c r="Y22" s="388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90"/>
      <c r="Q23" s="1352" t="str">
        <f>B23</f>
        <v>自然及人文环境</v>
      </c>
      <c r="R23" s="705" t="s">
        <v>18</v>
      </c>
      <c r="S23" s="706">
        <f>F23</f>
        <v>100</v>
      </c>
      <c r="T23" s="705" t="s">
        <v>18</v>
      </c>
      <c r="U23" s="706">
        <f>H23</f>
        <v>100</v>
      </c>
      <c r="V23" s="705" t="s">
        <v>18</v>
      </c>
      <c r="W23" s="706">
        <f>J23</f>
        <v>100</v>
      </c>
      <c r="X23" s="1355"/>
      <c r="Y23" s="388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890"/>
      <c r="Q24" s="1352"/>
      <c r="R24" s="705"/>
      <c r="S24" s="706"/>
      <c r="T24" s="705"/>
      <c r="U24" s="706"/>
      <c r="V24" s="705"/>
      <c r="W24" s="706"/>
      <c r="X24" s="1355"/>
      <c r="Y24" s="388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89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8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890"/>
      <c r="Q26" s="1352" t="str">
        <f t="shared" si="11"/>
        <v>朝向</v>
      </c>
      <c r="R26" s="705" t="s">
        <v>18</v>
      </c>
      <c r="S26" s="706">
        <f t="shared" si="12"/>
        <v>100</v>
      </c>
      <c r="T26" s="705" t="s">
        <v>18</v>
      </c>
      <c r="U26" s="706">
        <f t="shared" si="13"/>
        <v>100</v>
      </c>
      <c r="V26" s="705" t="s">
        <v>18</v>
      </c>
      <c r="W26" s="706">
        <f t="shared" si="14"/>
        <v>100</v>
      </c>
      <c r="X26" s="1355"/>
      <c r="Y26" s="388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890"/>
      <c r="Q27" s="1343">
        <f t="shared" si="11"/>
        <v>111</v>
      </c>
      <c r="R27" s="701" t="s">
        <v>18</v>
      </c>
      <c r="S27" s="702">
        <f t="shared" si="12"/>
        <v>100</v>
      </c>
      <c r="T27" s="701" t="s">
        <v>18</v>
      </c>
      <c r="U27" s="702">
        <f t="shared" si="13"/>
        <v>100</v>
      </c>
      <c r="V27" s="701" t="s">
        <v>18</v>
      </c>
      <c r="W27" s="702">
        <f t="shared" si="14"/>
        <v>100</v>
      </c>
      <c r="X27" s="703"/>
      <c r="Y27" s="388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890"/>
      <c r="Q28" s="1352">
        <f t="shared" si="11"/>
        <v>111</v>
      </c>
      <c r="R28" s="705" t="s">
        <v>18</v>
      </c>
      <c r="S28" s="706">
        <f t="shared" si="12"/>
        <v>100</v>
      </c>
      <c r="T28" s="705" t="s">
        <v>18</v>
      </c>
      <c r="U28" s="706">
        <f t="shared" si="13"/>
        <v>100</v>
      </c>
      <c r="V28" s="705" t="s">
        <v>18</v>
      </c>
      <c r="W28" s="706">
        <f t="shared" si="14"/>
        <v>100</v>
      </c>
      <c r="X28" s="1355"/>
      <c r="Y28" s="388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890"/>
      <c r="Q29" s="1352">
        <f t="shared" si="11"/>
        <v>111</v>
      </c>
      <c r="R29" s="705" t="s">
        <v>18</v>
      </c>
      <c r="S29" s="706">
        <f t="shared" si="12"/>
        <v>100</v>
      </c>
      <c r="T29" s="705" t="s">
        <v>18</v>
      </c>
      <c r="U29" s="706">
        <f t="shared" si="13"/>
        <v>100</v>
      </c>
      <c r="V29" s="705" t="s">
        <v>18</v>
      </c>
      <c r="W29" s="706">
        <f t="shared" si="14"/>
        <v>100</v>
      </c>
      <c r="X29" s="1355"/>
      <c r="Y29" s="388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890"/>
      <c r="Q30" s="1352">
        <f t="shared" si="11"/>
        <v>111</v>
      </c>
      <c r="R30" s="705" t="s">
        <v>18</v>
      </c>
      <c r="S30" s="706">
        <f t="shared" si="12"/>
        <v>100</v>
      </c>
      <c r="T30" s="705" t="s">
        <v>18</v>
      </c>
      <c r="U30" s="706">
        <f t="shared" si="13"/>
        <v>100</v>
      </c>
      <c r="V30" s="705" t="s">
        <v>18</v>
      </c>
      <c r="W30" s="706">
        <f t="shared" si="14"/>
        <v>100</v>
      </c>
      <c r="X30" s="1355"/>
      <c r="Y30" s="388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890"/>
      <c r="Q31" s="1352">
        <f t="shared" si="11"/>
        <v>111</v>
      </c>
      <c r="R31" s="705" t="s">
        <v>18</v>
      </c>
      <c r="S31" s="706">
        <f t="shared" si="12"/>
        <v>100</v>
      </c>
      <c r="T31" s="705" t="s">
        <v>18</v>
      </c>
      <c r="U31" s="706">
        <f t="shared" si="13"/>
        <v>100</v>
      </c>
      <c r="V31" s="705" t="s">
        <v>18</v>
      </c>
      <c r="W31" s="706">
        <f t="shared" si="14"/>
        <v>100</v>
      </c>
      <c r="X31" s="1355"/>
      <c r="Y31" s="388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884" t="s">
        <v>1696</v>
      </c>
      <c r="Q32" s="1352" t="str">
        <f t="shared" si="11"/>
        <v>建筑类型</v>
      </c>
      <c r="R32" s="705" t="s">
        <v>18</v>
      </c>
      <c r="S32" s="706">
        <f t="shared" si="12"/>
        <v>100</v>
      </c>
      <c r="T32" s="705" t="s">
        <v>18</v>
      </c>
      <c r="U32" s="706">
        <f t="shared" si="13"/>
        <v>100</v>
      </c>
      <c r="V32" s="705" t="s">
        <v>18</v>
      </c>
      <c r="W32" s="706">
        <f t="shared" si="14"/>
        <v>100</v>
      </c>
      <c r="X32" s="1355"/>
      <c r="Y32" s="388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885"/>
      <c r="Q33" s="707" t="str">
        <f t="shared" si="11"/>
        <v>项目建筑规模</v>
      </c>
      <c r="R33" s="708" t="s">
        <v>18</v>
      </c>
      <c r="S33" s="709" t="e">
        <f t="shared" si="12"/>
        <v>#N/A</v>
      </c>
      <c r="T33" s="708" t="s">
        <v>18</v>
      </c>
      <c r="U33" s="709" t="e">
        <f t="shared" si="13"/>
        <v>#N/A</v>
      </c>
      <c r="V33" s="708" t="s">
        <v>18</v>
      </c>
      <c r="W33" s="709" t="e">
        <f t="shared" si="14"/>
        <v>#N/A</v>
      </c>
      <c r="X33" s="710"/>
      <c r="Y33" s="388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885"/>
      <c r="Q34" s="1352" t="str">
        <f t="shared" si="11"/>
        <v>建筑结构</v>
      </c>
      <c r="R34" s="705" t="s">
        <v>18</v>
      </c>
      <c r="S34" s="706">
        <f t="shared" si="12"/>
        <v>100</v>
      </c>
      <c r="T34" s="705" t="s">
        <v>18</v>
      </c>
      <c r="U34" s="706">
        <f t="shared" si="13"/>
        <v>100</v>
      </c>
      <c r="V34" s="705" t="s">
        <v>18</v>
      </c>
      <c r="W34" s="706">
        <f t="shared" si="14"/>
        <v>100</v>
      </c>
      <c r="X34" s="1355"/>
      <c r="Y34" s="388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885"/>
      <c r="Q35" s="1352" t="str">
        <f t="shared" si="11"/>
        <v>建筑品质</v>
      </c>
      <c r="R35" s="705" t="s">
        <v>18</v>
      </c>
      <c r="S35" s="706">
        <f t="shared" si="12"/>
        <v>100</v>
      </c>
      <c r="T35" s="705" t="s">
        <v>18</v>
      </c>
      <c r="U35" s="706">
        <f t="shared" si="13"/>
        <v>100</v>
      </c>
      <c r="V35" s="705" t="s">
        <v>18</v>
      </c>
      <c r="W35" s="706">
        <f t="shared" si="14"/>
        <v>100</v>
      </c>
      <c r="X35" s="1355"/>
      <c r="Y35" s="388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885"/>
      <c r="Q36" s="1352" t="str">
        <f t="shared" si="11"/>
        <v>公共部分装修</v>
      </c>
      <c r="R36" s="705" t="s">
        <v>18</v>
      </c>
      <c r="S36" s="706">
        <f t="shared" si="12"/>
        <v>100</v>
      </c>
      <c r="T36" s="705" t="s">
        <v>18</v>
      </c>
      <c r="U36" s="706">
        <f t="shared" si="13"/>
        <v>100</v>
      </c>
      <c r="V36" s="705" t="s">
        <v>18</v>
      </c>
      <c r="W36" s="706">
        <f t="shared" si="14"/>
        <v>100</v>
      </c>
      <c r="X36" s="1355"/>
      <c r="Y36" s="388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885"/>
      <c r="Q37" s="1343" t="str">
        <f t="shared" si="11"/>
        <v>成新度</v>
      </c>
      <c r="R37" s="701" t="s">
        <v>18</v>
      </c>
      <c r="S37" s="702" t="e">
        <f t="shared" si="12"/>
        <v>#N/A</v>
      </c>
      <c r="T37" s="701" t="s">
        <v>18</v>
      </c>
      <c r="U37" s="702" t="e">
        <f t="shared" si="13"/>
        <v>#N/A</v>
      </c>
      <c r="V37" s="701" t="s">
        <v>18</v>
      </c>
      <c r="W37" s="702" t="e">
        <f t="shared" si="14"/>
        <v>#N/A</v>
      </c>
      <c r="X37" s="703"/>
      <c r="Y37" s="388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885" t="s">
        <v>1696</v>
      </c>
      <c r="Q38" s="1352" t="str">
        <f t="shared" si="11"/>
        <v>物业管理</v>
      </c>
      <c r="R38" s="705" t="s">
        <v>18</v>
      </c>
      <c r="S38" s="706">
        <f t="shared" si="12"/>
        <v>100</v>
      </c>
      <c r="T38" s="705" t="s">
        <v>18</v>
      </c>
      <c r="U38" s="706">
        <f t="shared" si="13"/>
        <v>100</v>
      </c>
      <c r="V38" s="705" t="s">
        <v>18</v>
      </c>
      <c r="W38" s="706">
        <f t="shared" si="14"/>
        <v>100</v>
      </c>
      <c r="X38" s="1355"/>
      <c r="Y38" s="388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885"/>
      <c r="Q39" s="1352" t="str">
        <f t="shared" si="11"/>
        <v>市政基础设施</v>
      </c>
      <c r="R39" s="705" t="s">
        <v>18</v>
      </c>
      <c r="S39" s="706">
        <f t="shared" si="12"/>
        <v>100</v>
      </c>
      <c r="T39" s="705" t="s">
        <v>18</v>
      </c>
      <c r="U39" s="706">
        <f t="shared" si="13"/>
        <v>100</v>
      </c>
      <c r="V39" s="705" t="s">
        <v>18</v>
      </c>
      <c r="W39" s="706">
        <f t="shared" si="14"/>
        <v>100</v>
      </c>
      <c r="X39" s="1355"/>
      <c r="Y39" s="388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885"/>
      <c r="Q40" s="1352" t="str">
        <f t="shared" si="11"/>
        <v>房型</v>
      </c>
      <c r="R40" s="705" t="s">
        <v>18</v>
      </c>
      <c r="S40" s="706">
        <f t="shared" si="12"/>
        <v>100</v>
      </c>
      <c r="T40" s="705" t="s">
        <v>18</v>
      </c>
      <c r="U40" s="706">
        <f t="shared" si="13"/>
        <v>100</v>
      </c>
      <c r="V40" s="705" t="s">
        <v>18</v>
      </c>
      <c r="W40" s="706">
        <f t="shared" si="14"/>
        <v>100</v>
      </c>
      <c r="X40" s="1355"/>
      <c r="Y40" s="388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885"/>
      <c r="Q41" s="707" t="str">
        <f t="shared" si="11"/>
        <v>单套/主力户型建筑面积</v>
      </c>
      <c r="R41" s="708" t="s">
        <v>18</v>
      </c>
      <c r="S41" s="709">
        <f t="shared" si="12"/>
        <v>100</v>
      </c>
      <c r="T41" s="708" t="s">
        <v>18</v>
      </c>
      <c r="U41" s="709">
        <f t="shared" si="13"/>
        <v>100</v>
      </c>
      <c r="V41" s="708" t="s">
        <v>18</v>
      </c>
      <c r="W41" s="709">
        <f t="shared" si="14"/>
        <v>100</v>
      </c>
      <c r="X41" s="710"/>
      <c r="Y41" s="388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885"/>
      <c r="Q42" s="1352" t="str">
        <f t="shared" si="11"/>
        <v>内部装修</v>
      </c>
      <c r="R42" s="705" t="s">
        <v>18</v>
      </c>
      <c r="S42" s="706">
        <f t="shared" si="12"/>
        <v>100</v>
      </c>
      <c r="T42" s="705" t="s">
        <v>18</v>
      </c>
      <c r="U42" s="706">
        <f t="shared" si="13"/>
        <v>100</v>
      </c>
      <c r="V42" s="705" t="s">
        <v>18</v>
      </c>
      <c r="W42" s="706">
        <f t="shared" si="14"/>
        <v>100</v>
      </c>
      <c r="X42" s="1355"/>
      <c r="Y42" s="388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885"/>
      <c r="Q43" s="1352" t="str">
        <f t="shared" si="11"/>
        <v>内部装修维护情况</v>
      </c>
      <c r="R43" s="705" t="s">
        <v>18</v>
      </c>
      <c r="S43" s="706">
        <f t="shared" si="12"/>
        <v>100</v>
      </c>
      <c r="T43" s="705" t="s">
        <v>18</v>
      </c>
      <c r="U43" s="706">
        <f t="shared" si="13"/>
        <v>100</v>
      </c>
      <c r="V43" s="705" t="s">
        <v>18</v>
      </c>
      <c r="W43" s="706">
        <f t="shared" si="14"/>
        <v>100</v>
      </c>
      <c r="X43" s="1355"/>
      <c r="Y43" s="388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885"/>
      <c r="Q44" s="1343">
        <f t="shared" si="11"/>
        <v>111</v>
      </c>
      <c r="R44" s="701" t="s">
        <v>18</v>
      </c>
      <c r="S44" s="702">
        <f t="shared" si="12"/>
        <v>100</v>
      </c>
      <c r="T44" s="701" t="s">
        <v>18</v>
      </c>
      <c r="U44" s="702">
        <f t="shared" si="13"/>
        <v>100</v>
      </c>
      <c r="V44" s="701" t="s">
        <v>18</v>
      </c>
      <c r="W44" s="702">
        <f t="shared" si="14"/>
        <v>100</v>
      </c>
      <c r="X44" s="703"/>
      <c r="Y44" s="388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885"/>
      <c r="Q45" s="1352">
        <f t="shared" si="11"/>
        <v>111</v>
      </c>
      <c r="R45" s="705" t="s">
        <v>18</v>
      </c>
      <c r="S45" s="706">
        <f t="shared" si="12"/>
        <v>100</v>
      </c>
      <c r="T45" s="705" t="s">
        <v>18</v>
      </c>
      <c r="U45" s="706">
        <f t="shared" si="13"/>
        <v>100</v>
      </c>
      <c r="V45" s="705" t="s">
        <v>18</v>
      </c>
      <c r="W45" s="706">
        <f t="shared" si="14"/>
        <v>100</v>
      </c>
      <c r="X45" s="1355"/>
      <c r="Y45" s="388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886"/>
      <c r="Q46" s="1352">
        <f t="shared" si="11"/>
        <v>111</v>
      </c>
      <c r="R46" s="705" t="s">
        <v>17</v>
      </c>
      <c r="S46" s="706">
        <f t="shared" si="12"/>
        <v>100</v>
      </c>
      <c r="T46" s="705" t="s">
        <v>17</v>
      </c>
      <c r="U46" s="706">
        <f t="shared" si="13"/>
        <v>100</v>
      </c>
      <c r="V46" s="705" t="s">
        <v>17</v>
      </c>
      <c r="W46" s="706">
        <f t="shared" si="14"/>
        <v>100</v>
      </c>
      <c r="X46" s="1355"/>
      <c r="Y46" s="388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880" t="str">
        <f>A47</f>
        <v>成交单价（元/平方米）</v>
      </c>
      <c r="Q47" s="3880"/>
      <c r="R47" s="3881">
        <f>E47</f>
        <v>0</v>
      </c>
      <c r="S47" s="3881"/>
      <c r="T47" s="3881">
        <f>G47</f>
        <v>0</v>
      </c>
      <c r="U47" s="3881"/>
      <c r="V47" s="3881">
        <f>I47</f>
        <v>0</v>
      </c>
      <c r="W47" s="388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880" t="str">
        <f>A48</f>
        <v>比较价值（元/平方米）</v>
      </c>
      <c r="Q48" s="3880"/>
      <c r="R48" s="3881" t="e">
        <f>IF(F1="售价",ROUND(PRODUCT(R47,AA7:AA46),0),ROUND(PRODUCT(R47,AA7:AA46),1))</f>
        <v>#DIV/0!</v>
      </c>
      <c r="S48" s="3881"/>
      <c r="T48" s="3881" t="e">
        <f>IF(F1="售价",ROUND(PRODUCT(T47,AB7:AB46),0),ROUND(PRODUCT(T47,AB7:AB46),1))</f>
        <v>#DIV/0!</v>
      </c>
      <c r="U48" s="3881"/>
      <c r="V48" s="3881" t="e">
        <f>IF(F1="售价",ROUND(PRODUCT(V47,AC7:AC46),0),ROUND(PRODUCT(V47,AC7:AC46),1))</f>
        <v>#DIV/0!</v>
      </c>
      <c r="W48" s="388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877" t="str">
        <f>A49</f>
        <v>估价对象XX用房的比较价值（楼面单价，元/平方米）</v>
      </c>
      <c r="Q49" s="3878"/>
      <c r="R49" s="3879" t="e">
        <f>IF(F1="售价",ROUND(IF(D48="简单平均",AVERAGE(R48:V48),R48*F48+T48*H48+V48*J48),0),ROUND(IF(D48="简单平均",AVERAGE(R48:V48),R48*F48+T48*H48+V48*J48),1))</f>
        <v>#DIV/0!</v>
      </c>
      <c r="S49" s="3879"/>
      <c r="T49" s="3879"/>
      <c r="U49" s="3879"/>
      <c r="V49" s="3879"/>
      <c r="W49" s="387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5605.5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863" t="s">
        <v>1770</v>
      </c>
      <c r="D4" s="3864"/>
      <c r="E4" s="3865" t="s">
        <v>1771</v>
      </c>
      <c r="F4" s="3866"/>
      <c r="G4" s="3863" t="s">
        <v>1772</v>
      </c>
      <c r="H4" s="3864"/>
      <c r="I4" s="3863" t="s">
        <v>1773</v>
      </c>
      <c r="J4" s="3864"/>
      <c r="K4" s="559" t="s">
        <v>1774</v>
      </c>
      <c r="L4" s="2713"/>
      <c r="M4" s="2714"/>
      <c r="N4" s="2714"/>
      <c r="O4" s="2714"/>
      <c r="P4" s="3867" t="s">
        <v>1775</v>
      </c>
      <c r="Q4" s="3868"/>
      <c r="R4" s="3850" t="s">
        <v>1771</v>
      </c>
      <c r="S4" s="3851"/>
      <c r="T4" s="3850" t="s">
        <v>1772</v>
      </c>
      <c r="U4" s="3851"/>
      <c r="V4" s="3875" t="s">
        <v>1773</v>
      </c>
      <c r="W4" s="3875"/>
      <c r="X4" s="1355"/>
      <c r="Y4" s="3850" t="s">
        <v>1775</v>
      </c>
      <c r="Z4" s="3851"/>
      <c r="AA4" s="3845" t="s">
        <v>1771</v>
      </c>
      <c r="AB4" s="3875" t="s">
        <v>1772</v>
      </c>
      <c r="AC4" s="3845" t="s">
        <v>1773</v>
      </c>
    </row>
    <row r="5" spans="1:29" ht="15">
      <c r="A5" s="358"/>
      <c r="B5" s="359"/>
      <c r="C5" s="3856" t="s">
        <v>1673</v>
      </c>
      <c r="D5" s="3857"/>
      <c r="E5" s="3854" t="s">
        <v>1674</v>
      </c>
      <c r="F5" s="3855"/>
      <c r="G5" s="3856" t="s">
        <v>1675</v>
      </c>
      <c r="H5" s="3857"/>
      <c r="I5" s="3856" t="s">
        <v>1676</v>
      </c>
      <c r="J5" s="3857"/>
      <c r="K5" s="559"/>
      <c r="L5" s="2713"/>
      <c r="M5" s="2714"/>
      <c r="N5" s="2714"/>
      <c r="O5" s="2714"/>
      <c r="P5" s="3869"/>
      <c r="Q5" s="3870"/>
      <c r="R5" s="3852"/>
      <c r="S5" s="3853"/>
      <c r="T5" s="3852"/>
      <c r="U5" s="3853"/>
      <c r="V5" s="3875"/>
      <c r="W5" s="3875"/>
      <c r="X5" s="1355"/>
      <c r="Y5" s="3852"/>
      <c r="Z5" s="3853"/>
      <c r="AA5" s="3846"/>
      <c r="AB5" s="3875"/>
      <c r="AC5" s="3846"/>
    </row>
    <row r="6" spans="1:29" ht="15.75" thickBot="1">
      <c r="A6" s="360"/>
      <c r="B6" s="361"/>
      <c r="C6" s="3858" t="s">
        <v>1677</v>
      </c>
      <c r="D6" s="3859"/>
      <c r="E6" s="3860" t="s">
        <v>1677</v>
      </c>
      <c r="F6" s="3861"/>
      <c r="G6" s="3858" t="s">
        <v>1677</v>
      </c>
      <c r="H6" s="3859"/>
      <c r="I6" s="3858" t="s">
        <v>1677</v>
      </c>
      <c r="J6" s="3859"/>
      <c r="K6" s="559" t="s">
        <v>1678</v>
      </c>
      <c r="L6" s="2713"/>
      <c r="M6" s="2714"/>
      <c r="N6" s="2714"/>
      <c r="O6" s="2714"/>
      <c r="P6" s="3871"/>
      <c r="Q6" s="3872"/>
      <c r="R6" s="3852"/>
      <c r="S6" s="3853"/>
      <c r="T6" s="3873"/>
      <c r="U6" s="3874"/>
      <c r="V6" s="3875"/>
      <c r="W6" s="3875"/>
      <c r="X6" s="1355"/>
      <c r="Y6" s="3873"/>
      <c r="Z6" s="3874"/>
      <c r="AA6" s="3847"/>
      <c r="AB6" s="3875"/>
      <c r="AC6" s="3847"/>
    </row>
    <row r="7" spans="1:29" s="108" customFormat="1" ht="15.75" thickBot="1">
      <c r="A7" s="362" t="s">
        <v>1679</v>
      </c>
      <c r="B7" s="363"/>
      <c r="C7" s="364">
        <f>'数据-取费表'!B2</f>
        <v>45056</v>
      </c>
      <c r="D7" s="365">
        <v>100</v>
      </c>
      <c r="E7" s="366"/>
      <c r="F7" s="367">
        <f>SUMIF(58:58,YEAR(E7)&amp;"-"&amp;MONTH(E7),59:59)</f>
        <v>0</v>
      </c>
      <c r="G7" s="366"/>
      <c r="H7" s="365">
        <f>SUMIF(58:58,YEAR(G7)&amp;"-"&amp;MONTH(G7),59:59)</f>
        <v>0</v>
      </c>
      <c r="I7" s="366"/>
      <c r="J7" s="365">
        <f>SUMIF(58:58,YEAR(I7)&amp;"-"&amp;MONTH(I7),59:59)</f>
        <v>0</v>
      </c>
      <c r="K7" s="560"/>
      <c r="L7" s="2715"/>
      <c r="M7" s="2716"/>
      <c r="N7" s="2716"/>
      <c r="O7" s="2716"/>
      <c r="P7" s="3848" t="s">
        <v>1680</v>
      </c>
      <c r="Q7" s="3876"/>
      <c r="R7" s="701" t="s">
        <v>14</v>
      </c>
      <c r="S7" s="702">
        <f t="shared" ref="S7:S15" si="0">F7</f>
        <v>0</v>
      </c>
      <c r="T7" s="701" t="s">
        <v>14</v>
      </c>
      <c r="U7" s="702">
        <f t="shared" ref="U7:U15" si="1">H7</f>
        <v>0</v>
      </c>
      <c r="V7" s="701" t="s">
        <v>14</v>
      </c>
      <c r="W7" s="702">
        <f t="shared" ref="W7:W15" si="2">J7</f>
        <v>0</v>
      </c>
      <c r="X7" s="703"/>
      <c r="Y7" s="3848" t="s">
        <v>1680</v>
      </c>
      <c r="Z7" s="384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848" t="s">
        <v>1683</v>
      </c>
      <c r="Q8" s="3849"/>
      <c r="R8" s="701" t="s">
        <v>14</v>
      </c>
      <c r="S8" s="702">
        <f t="shared" si="0"/>
        <v>100</v>
      </c>
      <c r="T8" s="701" t="s">
        <v>14</v>
      </c>
      <c r="U8" s="702">
        <f t="shared" si="1"/>
        <v>100</v>
      </c>
      <c r="V8" s="701" t="s">
        <v>14</v>
      </c>
      <c r="W8" s="702">
        <f t="shared" si="2"/>
        <v>100</v>
      </c>
      <c r="X8" s="703"/>
      <c r="Y8" s="3848" t="s">
        <v>1683</v>
      </c>
      <c r="Z8" s="384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862" t="s">
        <v>1686</v>
      </c>
      <c r="Q9" s="1343" t="str">
        <f t="shared" ref="Q9:Q15" si="6">B9</f>
        <v>用途</v>
      </c>
      <c r="R9" s="701" t="s">
        <v>14</v>
      </c>
      <c r="S9" s="702">
        <f t="shared" si="0"/>
        <v>100</v>
      </c>
      <c r="T9" s="701" t="s">
        <v>14</v>
      </c>
      <c r="U9" s="702">
        <f t="shared" si="1"/>
        <v>100</v>
      </c>
      <c r="V9" s="701" t="s">
        <v>14</v>
      </c>
      <c r="W9" s="702">
        <f t="shared" si="2"/>
        <v>100</v>
      </c>
      <c r="X9" s="703"/>
      <c r="Y9" s="379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862"/>
      <c r="Q10" s="1343" t="str">
        <f t="shared" si="6"/>
        <v>土地使用年限（年）</v>
      </c>
      <c r="R10" s="701" t="s">
        <v>14</v>
      </c>
      <c r="S10" s="702">
        <f t="shared" si="0"/>
        <v>100</v>
      </c>
      <c r="T10" s="701" t="s">
        <v>14</v>
      </c>
      <c r="U10" s="702">
        <f t="shared" si="1"/>
        <v>100</v>
      </c>
      <c r="V10" s="701" t="s">
        <v>14</v>
      </c>
      <c r="W10" s="702">
        <f t="shared" si="2"/>
        <v>100</v>
      </c>
      <c r="X10" s="703"/>
      <c r="Y10" s="379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862"/>
      <c r="Q11" s="1343" t="str">
        <f t="shared" si="6"/>
        <v>容积率</v>
      </c>
      <c r="R11" s="701" t="s">
        <v>14</v>
      </c>
      <c r="S11" s="702" t="e">
        <f t="shared" si="0"/>
        <v>#N/A</v>
      </c>
      <c r="T11" s="701" t="s">
        <v>14</v>
      </c>
      <c r="U11" s="702" t="e">
        <f t="shared" si="1"/>
        <v>#N/A</v>
      </c>
      <c r="V11" s="701" t="s">
        <v>14</v>
      </c>
      <c r="W11" s="702" t="e">
        <f t="shared" si="2"/>
        <v>#N/A</v>
      </c>
      <c r="X11" s="703"/>
      <c r="Y11" s="379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862"/>
      <c r="Q12" s="1343">
        <f t="shared" si="6"/>
        <v>111</v>
      </c>
      <c r="R12" s="701" t="s">
        <v>14</v>
      </c>
      <c r="S12" s="702">
        <f t="shared" si="0"/>
        <v>100</v>
      </c>
      <c r="T12" s="701" t="s">
        <v>14</v>
      </c>
      <c r="U12" s="702">
        <f t="shared" si="1"/>
        <v>100</v>
      </c>
      <c r="V12" s="701" t="s">
        <v>14</v>
      </c>
      <c r="W12" s="702">
        <f t="shared" si="2"/>
        <v>100</v>
      </c>
      <c r="X12" s="703"/>
      <c r="Y12" s="379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862"/>
      <c r="Q13" s="1343">
        <f t="shared" si="6"/>
        <v>111</v>
      </c>
      <c r="R13" s="701" t="s">
        <v>14</v>
      </c>
      <c r="S13" s="702">
        <f t="shared" si="0"/>
        <v>100</v>
      </c>
      <c r="T13" s="701" t="s">
        <v>14</v>
      </c>
      <c r="U13" s="702">
        <f t="shared" si="1"/>
        <v>100</v>
      </c>
      <c r="V13" s="701" t="s">
        <v>14</v>
      </c>
      <c r="W13" s="702">
        <f t="shared" si="2"/>
        <v>100</v>
      </c>
      <c r="X13" s="703"/>
      <c r="Y13" s="379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862"/>
      <c r="Q14" s="1343">
        <f t="shared" si="6"/>
        <v>111</v>
      </c>
      <c r="R14" s="701" t="s">
        <v>14</v>
      </c>
      <c r="S14" s="702">
        <f t="shared" si="0"/>
        <v>100</v>
      </c>
      <c r="T14" s="701" t="s">
        <v>14</v>
      </c>
      <c r="U14" s="702">
        <f t="shared" si="1"/>
        <v>100</v>
      </c>
      <c r="V14" s="701" t="s">
        <v>14</v>
      </c>
      <c r="W14" s="702">
        <f t="shared" si="2"/>
        <v>100</v>
      </c>
      <c r="X14" s="703"/>
      <c r="Y14" s="379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889" t="s">
        <v>1691</v>
      </c>
      <c r="Q15" s="1352" t="str">
        <f t="shared" si="6"/>
        <v>商业繁华度</v>
      </c>
      <c r="R15" s="705" t="s">
        <v>14</v>
      </c>
      <c r="S15" s="706">
        <f t="shared" si="0"/>
        <v>100</v>
      </c>
      <c r="T15" s="705" t="s">
        <v>14</v>
      </c>
      <c r="U15" s="706">
        <f t="shared" si="1"/>
        <v>100</v>
      </c>
      <c r="V15" s="705" t="s">
        <v>14</v>
      </c>
      <c r="W15" s="706">
        <f t="shared" si="2"/>
        <v>100</v>
      </c>
      <c r="X15" s="1355"/>
      <c r="Y15" s="388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890"/>
      <c r="Q16" s="1352"/>
      <c r="R16" s="705"/>
      <c r="S16" s="706"/>
      <c r="T16" s="705"/>
      <c r="U16" s="706"/>
      <c r="V16" s="705"/>
      <c r="W16" s="706"/>
      <c r="X16" s="1355"/>
      <c r="Y16" s="388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890"/>
      <c r="Q17" s="1352" t="str">
        <f>B17</f>
        <v>交通便捷度</v>
      </c>
      <c r="R17" s="705" t="s">
        <v>14</v>
      </c>
      <c r="S17" s="706">
        <f>F17</f>
        <v>100</v>
      </c>
      <c r="T17" s="705" t="s">
        <v>14</v>
      </c>
      <c r="U17" s="706">
        <f>H17</f>
        <v>100</v>
      </c>
      <c r="V17" s="705" t="s">
        <v>14</v>
      </c>
      <c r="W17" s="706">
        <f>J17</f>
        <v>100</v>
      </c>
      <c r="X17" s="1355"/>
      <c r="Y17" s="38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890"/>
      <c r="Q18" s="1352"/>
      <c r="R18" s="705"/>
      <c r="S18" s="706"/>
      <c r="T18" s="705"/>
      <c r="U18" s="706"/>
      <c r="V18" s="705"/>
      <c r="W18" s="706"/>
      <c r="X18" s="1355"/>
      <c r="Y18" s="388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890"/>
      <c r="Q19" s="1352" t="str">
        <f>B19</f>
        <v>公共配套设施</v>
      </c>
      <c r="R19" s="705" t="s">
        <v>14</v>
      </c>
      <c r="S19" s="706">
        <f>F19</f>
        <v>100</v>
      </c>
      <c r="T19" s="705" t="s">
        <v>14</v>
      </c>
      <c r="U19" s="706">
        <f>H19</f>
        <v>100</v>
      </c>
      <c r="V19" s="705" t="s">
        <v>14</v>
      </c>
      <c r="W19" s="706">
        <f>J19</f>
        <v>100</v>
      </c>
      <c r="X19" s="1355"/>
      <c r="Y19" s="38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890"/>
      <c r="Q20" s="1352"/>
      <c r="R20" s="705"/>
      <c r="S20" s="706"/>
      <c r="T20" s="705"/>
      <c r="U20" s="706"/>
      <c r="V20" s="705"/>
      <c r="W20" s="706"/>
      <c r="X20" s="1355"/>
      <c r="Y20" s="388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890"/>
      <c r="Q21" s="1352" t="str">
        <f>B21</f>
        <v>基础设施水平</v>
      </c>
      <c r="R21" s="705" t="s">
        <v>14</v>
      </c>
      <c r="S21" s="706">
        <f>F21</f>
        <v>100</v>
      </c>
      <c r="T21" s="705" t="s">
        <v>14</v>
      </c>
      <c r="U21" s="706">
        <f>H21</f>
        <v>100</v>
      </c>
      <c r="V21" s="705" t="s">
        <v>14</v>
      </c>
      <c r="W21" s="706">
        <f>J21</f>
        <v>100</v>
      </c>
      <c r="X21" s="1355"/>
      <c r="Y21" s="38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890"/>
      <c r="Q22" s="1352"/>
      <c r="R22" s="705"/>
      <c r="S22" s="706"/>
      <c r="T22" s="705"/>
      <c r="U22" s="706"/>
      <c r="V22" s="705"/>
      <c r="W22" s="706"/>
      <c r="X22" s="1355"/>
      <c r="Y22" s="388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890"/>
      <c r="Q23" s="1352" t="str">
        <f>B23</f>
        <v>自然及人文环境</v>
      </c>
      <c r="R23" s="705" t="s">
        <v>14</v>
      </c>
      <c r="S23" s="706">
        <f>F23</f>
        <v>100</v>
      </c>
      <c r="T23" s="705" t="s">
        <v>14</v>
      </c>
      <c r="U23" s="706">
        <f>H23</f>
        <v>100</v>
      </c>
      <c r="V23" s="705" t="s">
        <v>14</v>
      </c>
      <c r="W23" s="706">
        <f>J23</f>
        <v>100</v>
      </c>
      <c r="X23" s="1355"/>
      <c r="Y23" s="388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890"/>
      <c r="Q24" s="1352"/>
      <c r="R24" s="705"/>
      <c r="S24" s="706"/>
      <c r="T24" s="705"/>
      <c r="U24" s="706"/>
      <c r="V24" s="705"/>
      <c r="W24" s="706"/>
      <c r="X24" s="1355"/>
      <c r="Y24" s="388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890"/>
      <c r="Q25" s="1352" t="str">
        <f t="shared" ref="Q25:Q46" si="11">B25</f>
        <v>临街状况</v>
      </c>
      <c r="R25" s="705" t="s">
        <v>14</v>
      </c>
      <c r="S25" s="706">
        <f>F25</f>
        <v>100</v>
      </c>
      <c r="T25" s="705" t="s">
        <v>14</v>
      </c>
      <c r="U25" s="706">
        <f>H25</f>
        <v>100</v>
      </c>
      <c r="V25" s="705" t="s">
        <v>14</v>
      </c>
      <c r="W25" s="706">
        <f>J25</f>
        <v>100</v>
      </c>
      <c r="X25" s="1355"/>
      <c r="Y25" s="388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890"/>
      <c r="Q26" s="1352" t="str">
        <f t="shared" si="11"/>
        <v>平面位置/可视性</v>
      </c>
      <c r="R26" s="705" t="s">
        <v>14</v>
      </c>
      <c r="S26" s="706">
        <f>F26</f>
        <v>100</v>
      </c>
      <c r="T26" s="705" t="s">
        <v>14</v>
      </c>
      <c r="U26" s="706">
        <f>H26</f>
        <v>100</v>
      </c>
      <c r="V26" s="705" t="s">
        <v>14</v>
      </c>
      <c r="W26" s="706">
        <f>J26</f>
        <v>100</v>
      </c>
      <c r="X26" s="1355"/>
      <c r="Y26" s="388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890"/>
      <c r="Q27" s="1343" t="str">
        <f t="shared" si="11"/>
        <v>人流量</v>
      </c>
      <c r="R27" s="701" t="s">
        <v>14</v>
      </c>
      <c r="S27" s="702">
        <f>F27</f>
        <v>100</v>
      </c>
      <c r="T27" s="701" t="s">
        <v>14</v>
      </c>
      <c r="U27" s="702">
        <f>H27</f>
        <v>100</v>
      </c>
      <c r="V27" s="701" t="s">
        <v>14</v>
      </c>
      <c r="W27" s="702">
        <f>J27</f>
        <v>100</v>
      </c>
      <c r="X27" s="703"/>
      <c r="Y27" s="388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89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8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90"/>
      <c r="Q29" s="1352">
        <f t="shared" si="11"/>
        <v>111</v>
      </c>
      <c r="R29" s="705" t="s">
        <v>14</v>
      </c>
      <c r="S29" s="706">
        <f t="shared" si="12"/>
        <v>100</v>
      </c>
      <c r="T29" s="705" t="s">
        <v>14</v>
      </c>
      <c r="U29" s="706">
        <f t="shared" si="13"/>
        <v>100</v>
      </c>
      <c r="V29" s="705" t="s">
        <v>14</v>
      </c>
      <c r="W29" s="706">
        <f t="shared" si="14"/>
        <v>100</v>
      </c>
      <c r="X29" s="1355"/>
      <c r="Y29" s="388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90"/>
      <c r="Q30" s="1352">
        <f t="shared" si="11"/>
        <v>111</v>
      </c>
      <c r="R30" s="705" t="s">
        <v>14</v>
      </c>
      <c r="S30" s="706">
        <f t="shared" si="12"/>
        <v>100</v>
      </c>
      <c r="T30" s="705" t="s">
        <v>14</v>
      </c>
      <c r="U30" s="706">
        <f t="shared" si="13"/>
        <v>100</v>
      </c>
      <c r="V30" s="705" t="s">
        <v>14</v>
      </c>
      <c r="W30" s="706">
        <f t="shared" si="14"/>
        <v>100</v>
      </c>
      <c r="X30" s="1355"/>
      <c r="Y30" s="388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90"/>
      <c r="Q31" s="1352">
        <f t="shared" si="11"/>
        <v>111</v>
      </c>
      <c r="R31" s="705" t="s">
        <v>14</v>
      </c>
      <c r="S31" s="706">
        <f t="shared" si="12"/>
        <v>100</v>
      </c>
      <c r="T31" s="705" t="s">
        <v>14</v>
      </c>
      <c r="U31" s="706">
        <f t="shared" si="13"/>
        <v>100</v>
      </c>
      <c r="V31" s="705" t="s">
        <v>14</v>
      </c>
      <c r="W31" s="706">
        <f t="shared" si="14"/>
        <v>100</v>
      </c>
      <c r="X31" s="1355"/>
      <c r="Y31" s="388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884" t="s">
        <v>1696</v>
      </c>
      <c r="Q32" s="1352" t="str">
        <f t="shared" si="11"/>
        <v>商业类型</v>
      </c>
      <c r="R32" s="705" t="s">
        <v>14</v>
      </c>
      <c r="S32" s="706">
        <f t="shared" si="12"/>
        <v>100</v>
      </c>
      <c r="T32" s="705" t="s">
        <v>14</v>
      </c>
      <c r="U32" s="706">
        <f t="shared" si="13"/>
        <v>100</v>
      </c>
      <c r="V32" s="705" t="s">
        <v>14</v>
      </c>
      <c r="W32" s="706">
        <f t="shared" si="14"/>
        <v>100</v>
      </c>
      <c r="X32" s="1355"/>
      <c r="Y32" s="388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885"/>
      <c r="Q33" s="707" t="str">
        <f t="shared" si="11"/>
        <v>项目建筑规模</v>
      </c>
      <c r="R33" s="708" t="s">
        <v>14</v>
      </c>
      <c r="S33" s="709" t="e">
        <f t="shared" si="12"/>
        <v>#N/A</v>
      </c>
      <c r="T33" s="708" t="s">
        <v>14</v>
      </c>
      <c r="U33" s="709" t="e">
        <f t="shared" si="13"/>
        <v>#N/A</v>
      </c>
      <c r="V33" s="708" t="s">
        <v>14</v>
      </c>
      <c r="W33" s="709" t="e">
        <f t="shared" si="14"/>
        <v>#N/A</v>
      </c>
      <c r="X33" s="710"/>
      <c r="Y33" s="388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885"/>
      <c r="Q34" s="1352" t="str">
        <f t="shared" si="11"/>
        <v>建筑结构</v>
      </c>
      <c r="R34" s="705" t="s">
        <v>14</v>
      </c>
      <c r="S34" s="706">
        <f t="shared" si="12"/>
        <v>100</v>
      </c>
      <c r="T34" s="705" t="s">
        <v>14</v>
      </c>
      <c r="U34" s="706">
        <f t="shared" si="13"/>
        <v>100</v>
      </c>
      <c r="V34" s="705" t="s">
        <v>14</v>
      </c>
      <c r="W34" s="706">
        <f t="shared" si="14"/>
        <v>100</v>
      </c>
      <c r="X34" s="1355"/>
      <c r="Y34" s="388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885"/>
      <c r="Q35" s="1352" t="str">
        <f t="shared" si="11"/>
        <v>公共部分装修</v>
      </c>
      <c r="R35" s="705" t="s">
        <v>14</v>
      </c>
      <c r="S35" s="706">
        <f t="shared" si="12"/>
        <v>100</v>
      </c>
      <c r="T35" s="705" t="s">
        <v>14</v>
      </c>
      <c r="U35" s="706">
        <f t="shared" si="13"/>
        <v>100</v>
      </c>
      <c r="V35" s="705" t="s">
        <v>14</v>
      </c>
      <c r="W35" s="706">
        <f t="shared" si="14"/>
        <v>100</v>
      </c>
      <c r="X35" s="1355"/>
      <c r="Y35" s="388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885"/>
      <c r="Q36" s="1352" t="str">
        <f t="shared" si="11"/>
        <v>成新度</v>
      </c>
      <c r="R36" s="705" t="s">
        <v>14</v>
      </c>
      <c r="S36" s="706" t="e">
        <f t="shared" si="12"/>
        <v>#N/A</v>
      </c>
      <c r="T36" s="705" t="s">
        <v>14</v>
      </c>
      <c r="U36" s="706" t="e">
        <f t="shared" si="13"/>
        <v>#N/A</v>
      </c>
      <c r="V36" s="705" t="s">
        <v>14</v>
      </c>
      <c r="W36" s="706" t="e">
        <f t="shared" si="14"/>
        <v>#N/A</v>
      </c>
      <c r="X36" s="1355"/>
      <c r="Y36" s="388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885"/>
      <c r="Q37" s="1343" t="str">
        <f t="shared" si="11"/>
        <v>市政基础设施</v>
      </c>
      <c r="R37" s="701" t="s">
        <v>14</v>
      </c>
      <c r="S37" s="702">
        <f t="shared" si="12"/>
        <v>100</v>
      </c>
      <c r="T37" s="701" t="s">
        <v>14</v>
      </c>
      <c r="U37" s="702">
        <f t="shared" si="13"/>
        <v>100</v>
      </c>
      <c r="V37" s="701" t="s">
        <v>14</v>
      </c>
      <c r="W37" s="702">
        <f t="shared" si="14"/>
        <v>100</v>
      </c>
      <c r="X37" s="703"/>
      <c r="Y37" s="388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885" t="s">
        <v>1696</v>
      </c>
      <c r="Q38" s="1352" t="str">
        <f t="shared" si="11"/>
        <v>业态</v>
      </c>
      <c r="R38" s="705" t="s">
        <v>14</v>
      </c>
      <c r="S38" s="706">
        <f t="shared" si="12"/>
        <v>100</v>
      </c>
      <c r="T38" s="705" t="s">
        <v>14</v>
      </c>
      <c r="U38" s="706">
        <f t="shared" si="13"/>
        <v>100</v>
      </c>
      <c r="V38" s="705" t="s">
        <v>14</v>
      </c>
      <c r="W38" s="706">
        <f t="shared" si="14"/>
        <v>100</v>
      </c>
      <c r="X38" s="1355"/>
      <c r="Y38" s="388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885"/>
      <c r="Q39" s="1352" t="str">
        <f t="shared" si="11"/>
        <v>层高</v>
      </c>
      <c r="R39" s="705" t="s">
        <v>14</v>
      </c>
      <c r="S39" s="706">
        <f t="shared" si="12"/>
        <v>100</v>
      </c>
      <c r="T39" s="705" t="s">
        <v>14</v>
      </c>
      <c r="U39" s="706">
        <f t="shared" si="13"/>
        <v>100</v>
      </c>
      <c r="V39" s="705" t="s">
        <v>14</v>
      </c>
      <c r="W39" s="706">
        <f t="shared" si="14"/>
        <v>100</v>
      </c>
      <c r="X39" s="1355"/>
      <c r="Y39" s="388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885"/>
      <c r="Q40" s="1352" t="str">
        <f t="shared" si="11"/>
        <v>单套建筑面积</v>
      </c>
      <c r="R40" s="705" t="s">
        <v>14</v>
      </c>
      <c r="S40" s="706">
        <f t="shared" si="12"/>
        <v>100</v>
      </c>
      <c r="T40" s="705" t="s">
        <v>14</v>
      </c>
      <c r="U40" s="706">
        <f t="shared" si="13"/>
        <v>100</v>
      </c>
      <c r="V40" s="705" t="s">
        <v>14</v>
      </c>
      <c r="W40" s="706">
        <f t="shared" si="14"/>
        <v>100</v>
      </c>
      <c r="X40" s="1355"/>
      <c r="Y40" s="388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885"/>
      <c r="Q41" s="707" t="str">
        <f t="shared" si="11"/>
        <v>进深比</v>
      </c>
      <c r="R41" s="708" t="s">
        <v>14</v>
      </c>
      <c r="S41" s="709">
        <f t="shared" si="12"/>
        <v>100</v>
      </c>
      <c r="T41" s="708" t="s">
        <v>14</v>
      </c>
      <c r="U41" s="709">
        <f t="shared" si="13"/>
        <v>100</v>
      </c>
      <c r="V41" s="708" t="s">
        <v>14</v>
      </c>
      <c r="W41" s="709">
        <f t="shared" si="14"/>
        <v>100</v>
      </c>
      <c r="X41" s="710"/>
      <c r="Y41" s="388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885"/>
      <c r="Q42" s="1352" t="str">
        <f t="shared" si="11"/>
        <v>内部装修</v>
      </c>
      <c r="R42" s="705" t="s">
        <v>14</v>
      </c>
      <c r="S42" s="706">
        <f t="shared" si="12"/>
        <v>100</v>
      </c>
      <c r="T42" s="705" t="s">
        <v>14</v>
      </c>
      <c r="U42" s="706">
        <f t="shared" si="13"/>
        <v>100</v>
      </c>
      <c r="V42" s="705" t="s">
        <v>14</v>
      </c>
      <c r="W42" s="706">
        <f t="shared" si="14"/>
        <v>100</v>
      </c>
      <c r="X42" s="1355"/>
      <c r="Y42" s="388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885"/>
      <c r="Q43" s="1352" t="str">
        <f t="shared" si="11"/>
        <v>内部装修维护情况</v>
      </c>
      <c r="R43" s="705" t="s">
        <v>14</v>
      </c>
      <c r="S43" s="706">
        <f t="shared" si="12"/>
        <v>100</v>
      </c>
      <c r="T43" s="705" t="s">
        <v>14</v>
      </c>
      <c r="U43" s="706">
        <f t="shared" si="13"/>
        <v>100</v>
      </c>
      <c r="V43" s="705" t="s">
        <v>14</v>
      </c>
      <c r="W43" s="706">
        <f t="shared" si="14"/>
        <v>100</v>
      </c>
      <c r="X43" s="1355"/>
      <c r="Y43" s="388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885"/>
      <c r="Q44" s="1343">
        <f t="shared" si="11"/>
        <v>111</v>
      </c>
      <c r="R44" s="701" t="s">
        <v>14</v>
      </c>
      <c r="S44" s="702">
        <f t="shared" si="12"/>
        <v>100</v>
      </c>
      <c r="T44" s="701" t="s">
        <v>14</v>
      </c>
      <c r="U44" s="702">
        <f t="shared" si="13"/>
        <v>100</v>
      </c>
      <c r="V44" s="701" t="s">
        <v>14</v>
      </c>
      <c r="W44" s="702">
        <f t="shared" si="14"/>
        <v>100</v>
      </c>
      <c r="X44" s="703"/>
      <c r="Y44" s="388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885"/>
      <c r="Q45" s="1352">
        <f t="shared" si="11"/>
        <v>111</v>
      </c>
      <c r="R45" s="705" t="s">
        <v>14</v>
      </c>
      <c r="S45" s="706">
        <f t="shared" si="12"/>
        <v>100</v>
      </c>
      <c r="T45" s="705" t="s">
        <v>14</v>
      </c>
      <c r="U45" s="706">
        <f t="shared" si="13"/>
        <v>100</v>
      </c>
      <c r="V45" s="705" t="s">
        <v>14</v>
      </c>
      <c r="W45" s="706">
        <f t="shared" si="14"/>
        <v>100</v>
      </c>
      <c r="X45" s="1355"/>
      <c r="Y45" s="388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886"/>
      <c r="Q46" s="1352">
        <f t="shared" si="11"/>
        <v>111</v>
      </c>
      <c r="R46" s="705" t="s">
        <v>14</v>
      </c>
      <c r="S46" s="706">
        <f t="shared" si="12"/>
        <v>100</v>
      </c>
      <c r="T46" s="705" t="s">
        <v>14</v>
      </c>
      <c r="U46" s="706">
        <f t="shared" si="13"/>
        <v>100</v>
      </c>
      <c r="V46" s="705" t="s">
        <v>14</v>
      </c>
      <c r="W46" s="706">
        <f t="shared" si="14"/>
        <v>100</v>
      </c>
      <c r="X46" s="1355"/>
      <c r="Y46" s="388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880" t="str">
        <f>A47</f>
        <v>成交单价（元/平方米）</v>
      </c>
      <c r="Q47" s="3880"/>
      <c r="R47" s="3875">
        <f>E47</f>
        <v>0</v>
      </c>
      <c r="S47" s="3875"/>
      <c r="T47" s="3875">
        <f>G47</f>
        <v>0</v>
      </c>
      <c r="U47" s="3875"/>
      <c r="V47" s="3875">
        <f>I47</f>
        <v>0</v>
      </c>
      <c r="W47" s="387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880" t="str">
        <f>A48</f>
        <v>比较价值（元/平方米）</v>
      </c>
      <c r="Q48" s="3880"/>
      <c r="R48" s="3881" t="e">
        <f>IF(F1="售价",ROUND(PRODUCT(R47,AA7:AA46),0),ROUND(PRODUCT(R47,AA7:AA46),1))</f>
        <v>#DIV/0!</v>
      </c>
      <c r="S48" s="3881"/>
      <c r="T48" s="3881" t="e">
        <f>IF(F1="售价",ROUND(PRODUCT(T47,AB7:AB46),0),ROUND(PRODUCT(T47,AB7:AB46),1))</f>
        <v>#DIV/0!</v>
      </c>
      <c r="U48" s="3881"/>
      <c r="V48" s="3881" t="e">
        <f>IF(F1="售价",ROUND(PRODUCT(V47,AC7:AC46),0),ROUND(PRODUCT(V47,AC7:AC46),1))</f>
        <v>#DIV/0!</v>
      </c>
      <c r="W48" s="388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877" t="str">
        <f>A49</f>
        <v>估价对象XX用房的比较价值（楼面单价，元/平方米）</v>
      </c>
      <c r="Q49" s="3878"/>
      <c r="R49" s="3879" t="e">
        <f>IF(F1="售价",ROUND(IF(D48="简单平均",AVERAGE(R48:V48),R48*F48+T48*H48+V48*J48),0),ROUND(IF(D48="简单平均",AVERAGE(R48:V48),R48*F48+T48*H48+V48*J48),1))</f>
        <v>#DIV/0!</v>
      </c>
      <c r="S49" s="3879"/>
      <c r="T49" s="3879"/>
      <c r="U49" s="3879"/>
      <c r="V49" s="3879"/>
      <c r="W49" s="387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C43 E43 G43 I43" xr:uid="{00000000-0002-0000-1800-000001000000}">
      <formula1>内部装修维护情况</formula1>
    </dataValidation>
    <dataValidation type="list" allowBlank="1" showInputMessage="1" showErrorMessage="1" sqref="E20 I20 G20 C20" xr:uid="{00000000-0002-0000-1800-000002000000}">
      <formula1>公共配套设施</formula1>
    </dataValidation>
    <dataValidation type="list" allowBlank="1" showInputMessage="1" showErrorMessage="1" sqref="E18 G18 I18 C18" xr:uid="{00000000-0002-0000-1800-000003000000}">
      <formula1>交通便捷度</formula1>
    </dataValidation>
    <dataValidation type="list" allowBlank="1" showInputMessage="1" showErrorMessage="1" sqref="E24 G24 I24 C24" xr:uid="{00000000-0002-0000-1800-000004000000}">
      <formula1>环境</formula1>
    </dataValidation>
    <dataValidation type="list" allowBlank="1" showInputMessage="1" showErrorMessage="1" sqref="C25 E25 G25 I25" xr:uid="{00000000-0002-0000-1800-000005000000}">
      <formula1>商业临街状况</formula1>
    </dataValidation>
    <dataValidation type="list" allowBlank="1" showInputMessage="1" showErrorMessage="1" sqref="C27 E27 G27 I27" xr:uid="{00000000-0002-0000-1800-000006000000}">
      <formula1>商业人流量</formula1>
    </dataValidation>
    <dataValidation type="list" allowBlank="1" showInputMessage="1" showErrorMessage="1" sqref="C28 E28 G28 I28" xr:uid="{00000000-0002-0000-1800-000007000000}">
      <formula1>商业楼层</formula1>
    </dataValidation>
    <dataValidation type="list" allowBlank="1" showInputMessage="1" showErrorMessage="1" sqref="C32 E32 G32 I32" xr:uid="{00000000-0002-0000-1800-000008000000}">
      <formula1>商业类型</formula1>
    </dataValidation>
    <dataValidation type="list" allowBlank="1" showInputMessage="1" showErrorMessage="1" sqref="C34 E34 G34 I34" xr:uid="{00000000-0002-0000-1800-000009000000}">
      <formula1>商业建筑结构</formula1>
    </dataValidation>
    <dataValidation type="list" allowBlank="1" showInputMessage="1" showErrorMessage="1" sqref="C35 E35 G35 I35" xr:uid="{00000000-0002-0000-1800-00000A000000}">
      <formula1>商业公共部分装修</formula1>
    </dataValidation>
    <dataValidation type="list" allowBlank="1" showInputMessage="1" showErrorMessage="1" sqref="C37 E37 G37 I37" xr:uid="{00000000-0002-0000-1800-00000B000000}">
      <formula1>商业基础设施水平</formula1>
    </dataValidation>
    <dataValidation type="list" allowBlank="1" showInputMessage="1" showErrorMessage="1" sqref="C41 E41 G41 I41" xr:uid="{00000000-0002-0000-1800-00000C000000}">
      <formula1>商业进深比</formula1>
    </dataValidation>
    <dataValidation type="list" allowBlank="1" showInputMessage="1" showErrorMessage="1" sqref="C42 E42 G42 I42" xr:uid="{00000000-0002-0000-1800-00000D000000}">
      <formula1>商业内部装修</formula1>
    </dataValidation>
    <dataValidation type="list" allowBlank="1" showInputMessage="1" showErrorMessage="1" sqref="E9 G9 I9" xr:uid="{00000000-0002-0000-1800-00000E000000}">
      <formula1>商业用途</formula1>
    </dataValidation>
    <dataValidation type="list" allowBlank="1" showInputMessage="1" showErrorMessage="1" sqref="C38 E38 G38 I38" xr:uid="{00000000-0002-0000-1800-00000F000000}">
      <formula1>商业业态</formula1>
    </dataValidation>
    <dataValidation type="list" allowBlank="1" showInputMessage="1" showErrorMessage="1" sqref="C39 E39 G39 I39" xr:uid="{00000000-0002-0000-1800-000010000000}">
      <formula1>商业层高</formula1>
    </dataValidation>
    <dataValidation type="list" allowBlank="1" showInputMessage="1" showErrorMessage="1" sqref="C8 E8 G8 I8" xr:uid="{00000000-0002-0000-1800-000011000000}">
      <formula1>商业交易情况</formula1>
    </dataValidation>
    <dataValidation type="list" allowBlank="1" showInputMessage="1" showErrorMessage="1" sqref="C16 E16 G16 I16" xr:uid="{00000000-0002-0000-1800-000012000000}">
      <formula1>商业繁华度</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5605.5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863" t="s">
        <v>1770</v>
      </c>
      <c r="D4" s="3864"/>
      <c r="E4" s="3865" t="s">
        <v>1771</v>
      </c>
      <c r="F4" s="3866"/>
      <c r="G4" s="3863" t="s">
        <v>1772</v>
      </c>
      <c r="H4" s="3864"/>
      <c r="I4" s="3863" t="s">
        <v>1773</v>
      </c>
      <c r="J4" s="3864"/>
      <c r="K4" s="559" t="s">
        <v>1774</v>
      </c>
      <c r="L4" s="2713"/>
      <c r="M4" s="2714"/>
      <c r="N4" s="2714"/>
      <c r="O4" s="2714"/>
      <c r="P4" s="3897" t="s">
        <v>1775</v>
      </c>
      <c r="Q4" s="3898"/>
      <c r="R4" s="3892" t="s">
        <v>1771</v>
      </c>
      <c r="S4" s="3893"/>
      <c r="T4" s="3892" t="s">
        <v>1772</v>
      </c>
      <c r="U4" s="3893"/>
      <c r="V4" s="3901" t="s">
        <v>1773</v>
      </c>
      <c r="W4" s="3901"/>
      <c r="X4" s="1958"/>
      <c r="Y4" s="3892" t="s">
        <v>1775</v>
      </c>
      <c r="Z4" s="3893"/>
      <c r="AA4" s="3891" t="s">
        <v>1771</v>
      </c>
      <c r="AB4" s="3891" t="s">
        <v>1772</v>
      </c>
      <c r="AC4" s="3894" t="s">
        <v>1773</v>
      </c>
    </row>
    <row r="5" spans="1:29" ht="15">
      <c r="A5" s="358"/>
      <c r="B5" s="359"/>
      <c r="C5" s="3856" t="s">
        <v>1673</v>
      </c>
      <c r="D5" s="3857"/>
      <c r="E5" s="3854" t="s">
        <v>1674</v>
      </c>
      <c r="F5" s="3855"/>
      <c r="G5" s="3856" t="s">
        <v>1675</v>
      </c>
      <c r="H5" s="3857"/>
      <c r="I5" s="3856" t="s">
        <v>1676</v>
      </c>
      <c r="J5" s="3857"/>
      <c r="K5" s="559"/>
      <c r="L5" s="2713"/>
      <c r="M5" s="2714"/>
      <c r="N5" s="2714"/>
      <c r="O5" s="2714"/>
      <c r="P5" s="3899"/>
      <c r="Q5" s="3870"/>
      <c r="R5" s="3852"/>
      <c r="S5" s="3853"/>
      <c r="T5" s="3852"/>
      <c r="U5" s="3853"/>
      <c r="V5" s="3875"/>
      <c r="W5" s="3875"/>
      <c r="X5" s="1355"/>
      <c r="Y5" s="3852"/>
      <c r="Z5" s="3853"/>
      <c r="AA5" s="3846"/>
      <c r="AB5" s="3846"/>
      <c r="AC5" s="3895"/>
    </row>
    <row r="6" spans="1:29" ht="15.75" thickBot="1">
      <c r="A6" s="360"/>
      <c r="B6" s="361"/>
      <c r="C6" s="3858" t="s">
        <v>1677</v>
      </c>
      <c r="D6" s="3859"/>
      <c r="E6" s="3860" t="s">
        <v>1677</v>
      </c>
      <c r="F6" s="3861"/>
      <c r="G6" s="3858" t="s">
        <v>1677</v>
      </c>
      <c r="H6" s="3859"/>
      <c r="I6" s="3858" t="s">
        <v>1677</v>
      </c>
      <c r="J6" s="3859"/>
      <c r="K6" s="559" t="s">
        <v>1678</v>
      </c>
      <c r="L6" s="2713"/>
      <c r="M6" s="2714"/>
      <c r="N6" s="2714"/>
      <c r="O6" s="2714"/>
      <c r="P6" s="3900"/>
      <c r="Q6" s="3872"/>
      <c r="R6" s="3852"/>
      <c r="S6" s="3853"/>
      <c r="T6" s="3873"/>
      <c r="U6" s="3874"/>
      <c r="V6" s="3875"/>
      <c r="W6" s="3875"/>
      <c r="X6" s="1355"/>
      <c r="Y6" s="3873"/>
      <c r="Z6" s="3874"/>
      <c r="AA6" s="3847"/>
      <c r="AB6" s="3847"/>
      <c r="AC6" s="3896"/>
    </row>
    <row r="7" spans="1:29" s="108" customFormat="1" ht="15.75" thickBot="1">
      <c r="A7" s="362" t="s">
        <v>1679</v>
      </c>
      <c r="B7" s="363"/>
      <c r="C7" s="364">
        <f>'数据-取费表'!B2</f>
        <v>45056</v>
      </c>
      <c r="D7" s="365">
        <v>100</v>
      </c>
      <c r="E7" s="366"/>
      <c r="F7" s="367">
        <f>SUMIF(59:59,YEAR(E7)&amp;"-"&amp;MONTH(E7),60:60)</f>
        <v>0</v>
      </c>
      <c r="G7" s="366"/>
      <c r="H7" s="365">
        <f>SUMIF(59:59,YEAR(G7)&amp;"-"&amp;MONTH(G7),60:60)</f>
        <v>0</v>
      </c>
      <c r="I7" s="366"/>
      <c r="J7" s="365">
        <f>SUMIF(59:59,YEAR(I7)&amp;"-"&amp;MONTH(I7),60:60)</f>
        <v>0</v>
      </c>
      <c r="K7" s="560"/>
      <c r="L7" s="2715"/>
      <c r="M7" s="2716"/>
      <c r="N7" s="2716"/>
      <c r="O7" s="2716"/>
      <c r="P7" s="3902" t="s">
        <v>1680</v>
      </c>
      <c r="Q7" s="3876"/>
      <c r="R7" s="701" t="s">
        <v>14</v>
      </c>
      <c r="S7" s="702">
        <f t="shared" ref="S7:S15" si="0">F7</f>
        <v>0</v>
      </c>
      <c r="T7" s="701" t="s">
        <v>14</v>
      </c>
      <c r="U7" s="702">
        <f t="shared" ref="U7:U15" si="1">H7</f>
        <v>0</v>
      </c>
      <c r="V7" s="701" t="s">
        <v>14</v>
      </c>
      <c r="W7" s="702">
        <f t="shared" ref="W7:W15" si="2">J7</f>
        <v>0</v>
      </c>
      <c r="X7" s="703"/>
      <c r="Y7" s="3848" t="s">
        <v>1680</v>
      </c>
      <c r="Z7" s="384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902" t="s">
        <v>1683</v>
      </c>
      <c r="Q8" s="3849"/>
      <c r="R8" s="701" t="s">
        <v>14</v>
      </c>
      <c r="S8" s="702">
        <f t="shared" si="0"/>
        <v>100</v>
      </c>
      <c r="T8" s="701" t="s">
        <v>14</v>
      </c>
      <c r="U8" s="702">
        <f t="shared" si="1"/>
        <v>100</v>
      </c>
      <c r="V8" s="701" t="s">
        <v>14</v>
      </c>
      <c r="W8" s="702">
        <f t="shared" si="2"/>
        <v>100</v>
      </c>
      <c r="X8" s="703"/>
      <c r="Y8" s="3848" t="s">
        <v>1683</v>
      </c>
      <c r="Z8" s="384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862" t="s">
        <v>1686</v>
      </c>
      <c r="Q9" s="1343" t="str">
        <f t="shared" ref="Q9:Q15" si="6">B9</f>
        <v>用途</v>
      </c>
      <c r="R9" s="701" t="s">
        <v>14</v>
      </c>
      <c r="S9" s="702">
        <f t="shared" si="0"/>
        <v>100</v>
      </c>
      <c r="T9" s="701" t="s">
        <v>14</v>
      </c>
      <c r="U9" s="702">
        <f t="shared" si="1"/>
        <v>100</v>
      </c>
      <c r="V9" s="701" t="s">
        <v>14</v>
      </c>
      <c r="W9" s="702">
        <f t="shared" si="2"/>
        <v>100</v>
      </c>
      <c r="X9" s="703"/>
      <c r="Y9" s="3795"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862"/>
      <c r="Q10" s="1343" t="str">
        <f t="shared" si="6"/>
        <v>土地使用年限（年）</v>
      </c>
      <c r="R10" s="701" t="s">
        <v>14</v>
      </c>
      <c r="S10" s="702">
        <f t="shared" si="0"/>
        <v>100</v>
      </c>
      <c r="T10" s="701" t="s">
        <v>14</v>
      </c>
      <c r="U10" s="702">
        <f t="shared" si="1"/>
        <v>100</v>
      </c>
      <c r="V10" s="701" t="s">
        <v>14</v>
      </c>
      <c r="W10" s="702">
        <f t="shared" si="2"/>
        <v>100</v>
      </c>
      <c r="X10" s="703"/>
      <c r="Y10" s="379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862"/>
      <c r="Q11" s="1343" t="str">
        <f t="shared" si="6"/>
        <v>容积率</v>
      </c>
      <c r="R11" s="701" t="s">
        <v>14</v>
      </c>
      <c r="S11" s="702">
        <f t="shared" si="0"/>
        <v>100</v>
      </c>
      <c r="T11" s="701" t="s">
        <v>14</v>
      </c>
      <c r="U11" s="702">
        <f t="shared" si="1"/>
        <v>100</v>
      </c>
      <c r="V11" s="701" t="s">
        <v>14</v>
      </c>
      <c r="W11" s="702">
        <f t="shared" si="2"/>
        <v>100</v>
      </c>
      <c r="X11" s="703"/>
      <c r="Y11" s="379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862"/>
      <c r="Q12" s="1343">
        <f t="shared" si="6"/>
        <v>111</v>
      </c>
      <c r="R12" s="701" t="s">
        <v>14</v>
      </c>
      <c r="S12" s="702">
        <f t="shared" si="0"/>
        <v>100</v>
      </c>
      <c r="T12" s="701" t="s">
        <v>14</v>
      </c>
      <c r="U12" s="702">
        <f t="shared" si="1"/>
        <v>100</v>
      </c>
      <c r="V12" s="701" t="s">
        <v>14</v>
      </c>
      <c r="W12" s="702">
        <f t="shared" si="2"/>
        <v>100</v>
      </c>
      <c r="X12" s="703"/>
      <c r="Y12" s="379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862"/>
      <c r="Q13" s="1343">
        <f t="shared" si="6"/>
        <v>111</v>
      </c>
      <c r="R13" s="701" t="s">
        <v>14</v>
      </c>
      <c r="S13" s="702">
        <f t="shared" si="0"/>
        <v>100</v>
      </c>
      <c r="T13" s="701" t="s">
        <v>14</v>
      </c>
      <c r="U13" s="702">
        <f t="shared" si="1"/>
        <v>100</v>
      </c>
      <c r="V13" s="701" t="s">
        <v>14</v>
      </c>
      <c r="W13" s="702">
        <f t="shared" si="2"/>
        <v>100</v>
      </c>
      <c r="X13" s="703"/>
      <c r="Y13" s="379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862"/>
      <c r="Q14" s="1343">
        <f t="shared" si="6"/>
        <v>111</v>
      </c>
      <c r="R14" s="701" t="s">
        <v>14</v>
      </c>
      <c r="S14" s="702">
        <f t="shared" si="0"/>
        <v>100</v>
      </c>
      <c r="T14" s="701" t="s">
        <v>14</v>
      </c>
      <c r="U14" s="702">
        <f t="shared" si="1"/>
        <v>100</v>
      </c>
      <c r="V14" s="701" t="s">
        <v>14</v>
      </c>
      <c r="W14" s="702">
        <f t="shared" si="2"/>
        <v>100</v>
      </c>
      <c r="X14" s="703"/>
      <c r="Y14" s="379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889" t="s">
        <v>1691</v>
      </c>
      <c r="Q15" s="1352" t="str">
        <f t="shared" si="6"/>
        <v>办公集聚程度</v>
      </c>
      <c r="R15" s="705" t="s">
        <v>14</v>
      </c>
      <c r="S15" s="706">
        <f t="shared" si="0"/>
        <v>100</v>
      </c>
      <c r="T15" s="705" t="s">
        <v>14</v>
      </c>
      <c r="U15" s="706">
        <f t="shared" si="1"/>
        <v>100</v>
      </c>
      <c r="V15" s="705" t="s">
        <v>14</v>
      </c>
      <c r="W15" s="706">
        <f t="shared" si="2"/>
        <v>100</v>
      </c>
      <c r="X15" s="1355"/>
      <c r="Y15" s="388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890"/>
      <c r="Q16" s="1352"/>
      <c r="R16" s="705"/>
      <c r="S16" s="706"/>
      <c r="T16" s="705"/>
      <c r="U16" s="706"/>
      <c r="V16" s="705"/>
      <c r="W16" s="706"/>
      <c r="X16" s="1355"/>
      <c r="Y16" s="388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890"/>
      <c r="Q17" s="1352" t="str">
        <f>B17</f>
        <v>交通便捷度</v>
      </c>
      <c r="R17" s="705" t="s">
        <v>14</v>
      </c>
      <c r="S17" s="706">
        <f>F17</f>
        <v>100</v>
      </c>
      <c r="T17" s="705" t="s">
        <v>14</v>
      </c>
      <c r="U17" s="706">
        <f>H17</f>
        <v>100</v>
      </c>
      <c r="V17" s="705" t="s">
        <v>14</v>
      </c>
      <c r="W17" s="706">
        <f>J17</f>
        <v>100</v>
      </c>
      <c r="X17" s="1355"/>
      <c r="Y17" s="388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890"/>
      <c r="Q18" s="1352"/>
      <c r="R18" s="705"/>
      <c r="S18" s="706"/>
      <c r="T18" s="705"/>
      <c r="U18" s="706"/>
      <c r="V18" s="705"/>
      <c r="W18" s="706"/>
      <c r="X18" s="1355"/>
      <c r="Y18" s="388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890"/>
      <c r="Q19" s="1352" t="str">
        <f>B19</f>
        <v>公共配套设施</v>
      </c>
      <c r="R19" s="705" t="s">
        <v>14</v>
      </c>
      <c r="S19" s="706">
        <f>F19</f>
        <v>100</v>
      </c>
      <c r="T19" s="705" t="s">
        <v>14</v>
      </c>
      <c r="U19" s="706">
        <f>H19</f>
        <v>100</v>
      </c>
      <c r="V19" s="705" t="s">
        <v>14</v>
      </c>
      <c r="W19" s="706">
        <f>J19</f>
        <v>100</v>
      </c>
      <c r="X19" s="1355"/>
      <c r="Y19" s="388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890"/>
      <c r="Q20" s="1352"/>
      <c r="R20" s="705"/>
      <c r="S20" s="706"/>
      <c r="T20" s="705"/>
      <c r="U20" s="706"/>
      <c r="V20" s="705"/>
      <c r="W20" s="706"/>
      <c r="X20" s="1355"/>
      <c r="Y20" s="388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890"/>
      <c r="Q21" s="1352" t="str">
        <f>B21</f>
        <v>基础设施水平</v>
      </c>
      <c r="R21" s="705" t="s">
        <v>14</v>
      </c>
      <c r="S21" s="706">
        <f>F21</f>
        <v>100</v>
      </c>
      <c r="T21" s="705" t="s">
        <v>14</v>
      </c>
      <c r="U21" s="706">
        <f>H21</f>
        <v>100</v>
      </c>
      <c r="V21" s="705" t="s">
        <v>14</v>
      </c>
      <c r="W21" s="706">
        <f>J21</f>
        <v>100</v>
      </c>
      <c r="X21" s="1355"/>
      <c r="Y21" s="388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890"/>
      <c r="Q22" s="1352"/>
      <c r="R22" s="705"/>
      <c r="S22" s="706"/>
      <c r="T22" s="705"/>
      <c r="U22" s="706"/>
      <c r="V22" s="705"/>
      <c r="W22" s="706"/>
      <c r="X22" s="1355"/>
      <c r="Y22" s="388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890"/>
      <c r="Q23" s="1352" t="str">
        <f>B23</f>
        <v>环境质量</v>
      </c>
      <c r="R23" s="705" t="s">
        <v>14</v>
      </c>
      <c r="S23" s="706">
        <f>F23</f>
        <v>100</v>
      </c>
      <c r="T23" s="705" t="s">
        <v>14</v>
      </c>
      <c r="U23" s="706">
        <f>H23</f>
        <v>100</v>
      </c>
      <c r="V23" s="705" t="s">
        <v>14</v>
      </c>
      <c r="W23" s="706">
        <f>J23</f>
        <v>100</v>
      </c>
      <c r="X23" s="1355"/>
      <c r="Y23" s="388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890"/>
      <c r="Q24" s="1352"/>
      <c r="R24" s="705"/>
      <c r="S24" s="706"/>
      <c r="T24" s="705"/>
      <c r="U24" s="706"/>
      <c r="V24" s="705"/>
      <c r="W24" s="706"/>
      <c r="X24" s="1355"/>
      <c r="Y24" s="388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890"/>
      <c r="Q25" s="1352" t="str">
        <f>B25</f>
        <v>毗邻道路的类型与等级</v>
      </c>
      <c r="R25" s="705" t="s">
        <v>14</v>
      </c>
      <c r="S25" s="706">
        <f>F25</f>
        <v>100</v>
      </c>
      <c r="T25" s="705" t="s">
        <v>14</v>
      </c>
      <c r="U25" s="706">
        <f>H25</f>
        <v>100</v>
      </c>
      <c r="V25" s="705" t="s">
        <v>14</v>
      </c>
      <c r="W25" s="706">
        <f>J25</f>
        <v>100</v>
      </c>
      <c r="X25" s="1355"/>
      <c r="Y25" s="388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890"/>
      <c r="Q26" s="1352"/>
      <c r="R26" s="705"/>
      <c r="S26" s="706"/>
      <c r="T26" s="705"/>
      <c r="U26" s="706"/>
      <c r="V26" s="705"/>
      <c r="W26" s="706"/>
      <c r="X26" s="1355"/>
      <c r="Y26" s="388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90"/>
      <c r="Q27" s="1352" t="str">
        <f t="shared" ref="Q27:Q47" si="11">B27</f>
        <v>楼层</v>
      </c>
      <c r="R27" s="705" t="s">
        <v>14</v>
      </c>
      <c r="S27" s="706">
        <f>F27</f>
        <v>100</v>
      </c>
      <c r="T27" s="705" t="s">
        <v>14</v>
      </c>
      <c r="U27" s="706">
        <f>H27</f>
        <v>100</v>
      </c>
      <c r="V27" s="705" t="s">
        <v>14</v>
      </c>
      <c r="W27" s="706">
        <f>J27</f>
        <v>100</v>
      </c>
      <c r="X27" s="1355"/>
      <c r="Y27" s="388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890"/>
      <c r="Q28" s="1343" t="str">
        <f t="shared" si="11"/>
        <v>朝向</v>
      </c>
      <c r="R28" s="701" t="s">
        <v>14</v>
      </c>
      <c r="S28" s="702">
        <f>F28</f>
        <v>100</v>
      </c>
      <c r="T28" s="701" t="s">
        <v>14</v>
      </c>
      <c r="U28" s="702">
        <f>H28</f>
        <v>100</v>
      </c>
      <c r="V28" s="701" t="s">
        <v>14</v>
      </c>
      <c r="W28" s="702">
        <f>J28</f>
        <v>100</v>
      </c>
      <c r="X28" s="703"/>
      <c r="Y28" s="388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890"/>
      <c r="Q29" s="1352">
        <f t="shared" si="11"/>
        <v>111</v>
      </c>
      <c r="R29" s="705" t="s">
        <v>14</v>
      </c>
      <c r="S29" s="706">
        <f t="shared" ref="S29:S47" si="12">F29</f>
        <v>100</v>
      </c>
      <c r="T29" s="705" t="s">
        <v>14</v>
      </c>
      <c r="U29" s="706">
        <f t="shared" ref="U29:U47" si="13">H29</f>
        <v>100</v>
      </c>
      <c r="V29" s="705" t="s">
        <v>14</v>
      </c>
      <c r="W29" s="706">
        <f t="shared" ref="W29:W47" si="14">J29</f>
        <v>100</v>
      </c>
      <c r="X29" s="1355"/>
      <c r="Y29" s="388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890"/>
      <c r="Q30" s="1352">
        <f t="shared" si="11"/>
        <v>111</v>
      </c>
      <c r="R30" s="705" t="s">
        <v>14</v>
      </c>
      <c r="S30" s="706">
        <f t="shared" si="12"/>
        <v>100</v>
      </c>
      <c r="T30" s="705" t="s">
        <v>14</v>
      </c>
      <c r="U30" s="706">
        <f t="shared" si="13"/>
        <v>100</v>
      </c>
      <c r="V30" s="705" t="s">
        <v>14</v>
      </c>
      <c r="W30" s="706">
        <f t="shared" si="14"/>
        <v>100</v>
      </c>
      <c r="X30" s="1355"/>
      <c r="Y30" s="388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890"/>
      <c r="Q31" s="1352">
        <f t="shared" si="11"/>
        <v>111</v>
      </c>
      <c r="R31" s="705" t="s">
        <v>14</v>
      </c>
      <c r="S31" s="706">
        <f t="shared" si="12"/>
        <v>100</v>
      </c>
      <c r="T31" s="705" t="s">
        <v>14</v>
      </c>
      <c r="U31" s="706">
        <f t="shared" si="13"/>
        <v>100</v>
      </c>
      <c r="V31" s="705" t="s">
        <v>14</v>
      </c>
      <c r="W31" s="706">
        <f t="shared" si="14"/>
        <v>100</v>
      </c>
      <c r="X31" s="1355"/>
      <c r="Y31" s="388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890"/>
      <c r="Q32" s="1352">
        <f t="shared" si="11"/>
        <v>111</v>
      </c>
      <c r="R32" s="705" t="s">
        <v>14</v>
      </c>
      <c r="S32" s="706">
        <f t="shared" si="12"/>
        <v>100</v>
      </c>
      <c r="T32" s="705" t="s">
        <v>14</v>
      </c>
      <c r="U32" s="706">
        <f t="shared" si="13"/>
        <v>100</v>
      </c>
      <c r="V32" s="705" t="s">
        <v>14</v>
      </c>
      <c r="W32" s="706">
        <f t="shared" si="14"/>
        <v>100</v>
      </c>
      <c r="X32" s="1355"/>
      <c r="Y32" s="388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884" t="s">
        <v>1696</v>
      </c>
      <c r="Q33" s="1352" t="str">
        <f t="shared" si="11"/>
        <v>建筑类型</v>
      </c>
      <c r="R33" s="705" t="s">
        <v>14</v>
      </c>
      <c r="S33" s="706">
        <f t="shared" si="12"/>
        <v>100</v>
      </c>
      <c r="T33" s="705" t="s">
        <v>14</v>
      </c>
      <c r="U33" s="706">
        <f t="shared" si="13"/>
        <v>100</v>
      </c>
      <c r="V33" s="705" t="s">
        <v>14</v>
      </c>
      <c r="W33" s="706">
        <f t="shared" si="14"/>
        <v>100</v>
      </c>
      <c r="X33" s="1355"/>
      <c r="Y33" s="388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885"/>
      <c r="Q34" s="707" t="str">
        <f t="shared" si="11"/>
        <v>项目建筑规模</v>
      </c>
      <c r="R34" s="708" t="s">
        <v>14</v>
      </c>
      <c r="S34" s="709" t="e">
        <f t="shared" si="12"/>
        <v>#N/A</v>
      </c>
      <c r="T34" s="708" t="s">
        <v>14</v>
      </c>
      <c r="U34" s="709" t="e">
        <f t="shared" si="13"/>
        <v>#N/A</v>
      </c>
      <c r="V34" s="708" t="s">
        <v>14</v>
      </c>
      <c r="W34" s="709" t="e">
        <f t="shared" si="14"/>
        <v>#N/A</v>
      </c>
      <c r="X34" s="710"/>
      <c r="Y34" s="388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885"/>
      <c r="Q35" s="1352" t="str">
        <f t="shared" si="11"/>
        <v>建筑结构</v>
      </c>
      <c r="R35" s="705" t="s">
        <v>14</v>
      </c>
      <c r="S35" s="706">
        <f t="shared" si="12"/>
        <v>100</v>
      </c>
      <c r="T35" s="705" t="s">
        <v>14</v>
      </c>
      <c r="U35" s="706">
        <f t="shared" si="13"/>
        <v>100</v>
      </c>
      <c r="V35" s="705" t="s">
        <v>14</v>
      </c>
      <c r="W35" s="706">
        <f t="shared" si="14"/>
        <v>100</v>
      </c>
      <c r="X35" s="1355"/>
      <c r="Y35" s="388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885"/>
      <c r="Q36" s="1352" t="str">
        <f t="shared" si="11"/>
        <v>公共部分装修</v>
      </c>
      <c r="R36" s="705" t="s">
        <v>14</v>
      </c>
      <c r="S36" s="706">
        <f t="shared" si="12"/>
        <v>100</v>
      </c>
      <c r="T36" s="705" t="s">
        <v>14</v>
      </c>
      <c r="U36" s="706">
        <f t="shared" si="13"/>
        <v>100</v>
      </c>
      <c r="V36" s="705" t="s">
        <v>14</v>
      </c>
      <c r="W36" s="706">
        <f t="shared" si="14"/>
        <v>100</v>
      </c>
      <c r="X36" s="1355"/>
      <c r="Y36" s="388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885"/>
      <c r="Q37" s="1352" t="str">
        <f t="shared" si="11"/>
        <v>成新度</v>
      </c>
      <c r="R37" s="705" t="s">
        <v>14</v>
      </c>
      <c r="S37" s="706" t="e">
        <f t="shared" si="12"/>
        <v>#N/A</v>
      </c>
      <c r="T37" s="705" t="s">
        <v>14</v>
      </c>
      <c r="U37" s="706" t="e">
        <f t="shared" si="13"/>
        <v>#N/A</v>
      </c>
      <c r="V37" s="705" t="s">
        <v>14</v>
      </c>
      <c r="W37" s="706" t="e">
        <f t="shared" si="14"/>
        <v>#N/A</v>
      </c>
      <c r="X37" s="1355"/>
      <c r="Y37" s="388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885"/>
      <c r="Q38" s="1343" t="str">
        <f t="shared" si="11"/>
        <v>写字楼等级</v>
      </c>
      <c r="R38" s="701" t="s">
        <v>14</v>
      </c>
      <c r="S38" s="702">
        <f t="shared" si="12"/>
        <v>100</v>
      </c>
      <c r="T38" s="701" t="s">
        <v>14</v>
      </c>
      <c r="U38" s="702">
        <f t="shared" si="13"/>
        <v>100</v>
      </c>
      <c r="V38" s="701" t="s">
        <v>14</v>
      </c>
      <c r="W38" s="702">
        <f t="shared" si="14"/>
        <v>100</v>
      </c>
      <c r="X38" s="703"/>
      <c r="Y38" s="388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885" t="s">
        <v>1696</v>
      </c>
      <c r="Q39" s="1352" t="str">
        <f t="shared" si="11"/>
        <v>物业管理</v>
      </c>
      <c r="R39" s="705" t="s">
        <v>14</v>
      </c>
      <c r="S39" s="706">
        <f t="shared" si="12"/>
        <v>100</v>
      </c>
      <c r="T39" s="705" t="s">
        <v>14</v>
      </c>
      <c r="U39" s="706">
        <f t="shared" si="13"/>
        <v>100</v>
      </c>
      <c r="V39" s="705" t="s">
        <v>14</v>
      </c>
      <c r="W39" s="706">
        <f t="shared" si="14"/>
        <v>100</v>
      </c>
      <c r="X39" s="1355"/>
      <c r="Y39" s="388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885"/>
      <c r="Q40" s="1352" t="str">
        <f t="shared" si="11"/>
        <v>市政基础设施</v>
      </c>
      <c r="R40" s="705" t="s">
        <v>14</v>
      </c>
      <c r="S40" s="706">
        <f t="shared" si="12"/>
        <v>100</v>
      </c>
      <c r="T40" s="705" t="s">
        <v>14</v>
      </c>
      <c r="U40" s="706">
        <f t="shared" si="13"/>
        <v>100</v>
      </c>
      <c r="V40" s="705" t="s">
        <v>14</v>
      </c>
      <c r="W40" s="706">
        <f t="shared" si="14"/>
        <v>100</v>
      </c>
      <c r="X40" s="1355"/>
      <c r="Y40" s="388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885"/>
      <c r="Q41" s="1352" t="str">
        <f t="shared" si="11"/>
        <v>层高</v>
      </c>
      <c r="R41" s="705" t="s">
        <v>14</v>
      </c>
      <c r="S41" s="706">
        <f t="shared" si="12"/>
        <v>100</v>
      </c>
      <c r="T41" s="705" t="s">
        <v>14</v>
      </c>
      <c r="U41" s="706">
        <f t="shared" si="13"/>
        <v>100</v>
      </c>
      <c r="V41" s="705" t="s">
        <v>14</v>
      </c>
      <c r="W41" s="706">
        <f t="shared" si="14"/>
        <v>100</v>
      </c>
      <c r="X41" s="1355"/>
      <c r="Y41" s="388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885"/>
      <c r="Q42" s="707" t="str">
        <f t="shared" si="11"/>
        <v>单套建筑面积</v>
      </c>
      <c r="R42" s="708" t="s">
        <v>14</v>
      </c>
      <c r="S42" s="709">
        <f t="shared" si="12"/>
        <v>100</v>
      </c>
      <c r="T42" s="708" t="s">
        <v>14</v>
      </c>
      <c r="U42" s="709">
        <f t="shared" si="13"/>
        <v>100</v>
      </c>
      <c r="V42" s="708" t="s">
        <v>14</v>
      </c>
      <c r="W42" s="709">
        <f t="shared" si="14"/>
        <v>100</v>
      </c>
      <c r="X42" s="710"/>
      <c r="Y42" s="388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885"/>
      <c r="Q43" s="1352" t="str">
        <f t="shared" si="11"/>
        <v>内部装修</v>
      </c>
      <c r="R43" s="705" t="s">
        <v>14</v>
      </c>
      <c r="S43" s="706">
        <f t="shared" si="12"/>
        <v>100</v>
      </c>
      <c r="T43" s="705" t="s">
        <v>14</v>
      </c>
      <c r="U43" s="706">
        <f t="shared" si="13"/>
        <v>100</v>
      </c>
      <c r="V43" s="705" t="s">
        <v>14</v>
      </c>
      <c r="W43" s="706">
        <f t="shared" si="14"/>
        <v>100</v>
      </c>
      <c r="X43" s="1355"/>
      <c r="Y43" s="388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885"/>
      <c r="Q44" s="1352" t="str">
        <f t="shared" si="11"/>
        <v>内部装修维护情况</v>
      </c>
      <c r="R44" s="705" t="s">
        <v>14</v>
      </c>
      <c r="S44" s="706">
        <f t="shared" si="12"/>
        <v>100</v>
      </c>
      <c r="T44" s="705" t="s">
        <v>14</v>
      </c>
      <c r="U44" s="706">
        <f t="shared" si="13"/>
        <v>100</v>
      </c>
      <c r="V44" s="705" t="s">
        <v>14</v>
      </c>
      <c r="W44" s="706">
        <f t="shared" si="14"/>
        <v>100</v>
      </c>
      <c r="X44" s="1355"/>
      <c r="Y44" s="388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885"/>
      <c r="Q45" s="1343">
        <f t="shared" si="11"/>
        <v>111</v>
      </c>
      <c r="R45" s="701" t="s">
        <v>14</v>
      </c>
      <c r="S45" s="702">
        <f t="shared" si="12"/>
        <v>100</v>
      </c>
      <c r="T45" s="701" t="s">
        <v>14</v>
      </c>
      <c r="U45" s="702">
        <f t="shared" si="13"/>
        <v>100</v>
      </c>
      <c r="V45" s="701" t="s">
        <v>14</v>
      </c>
      <c r="W45" s="702">
        <f t="shared" si="14"/>
        <v>100</v>
      </c>
      <c r="X45" s="703"/>
      <c r="Y45" s="388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885"/>
      <c r="Q46" s="1352">
        <f t="shared" si="11"/>
        <v>111</v>
      </c>
      <c r="R46" s="705" t="s">
        <v>14</v>
      </c>
      <c r="S46" s="706">
        <f t="shared" si="12"/>
        <v>100</v>
      </c>
      <c r="T46" s="705" t="s">
        <v>14</v>
      </c>
      <c r="U46" s="706">
        <f t="shared" si="13"/>
        <v>100</v>
      </c>
      <c r="V46" s="705" t="s">
        <v>14</v>
      </c>
      <c r="W46" s="706">
        <f t="shared" si="14"/>
        <v>100</v>
      </c>
      <c r="X46" s="1355"/>
      <c r="Y46" s="388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886"/>
      <c r="Q47" s="1352">
        <f t="shared" si="11"/>
        <v>111</v>
      </c>
      <c r="R47" s="705" t="s">
        <v>14</v>
      </c>
      <c r="S47" s="706">
        <f t="shared" si="12"/>
        <v>100</v>
      </c>
      <c r="T47" s="705" t="s">
        <v>14</v>
      </c>
      <c r="U47" s="706">
        <f t="shared" si="13"/>
        <v>100</v>
      </c>
      <c r="V47" s="705" t="s">
        <v>14</v>
      </c>
      <c r="W47" s="706">
        <f t="shared" si="14"/>
        <v>100</v>
      </c>
      <c r="X47" s="1355"/>
      <c r="Y47" s="388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862" t="str">
        <f>A48</f>
        <v>成交单价（元/平方米）</v>
      </c>
      <c r="Q48" s="3880"/>
      <c r="R48" s="3881">
        <f>E48</f>
        <v>0</v>
      </c>
      <c r="S48" s="3881"/>
      <c r="T48" s="3881">
        <f>G48</f>
        <v>0</v>
      </c>
      <c r="U48" s="3881"/>
      <c r="V48" s="3881">
        <f>I48</f>
        <v>0</v>
      </c>
      <c r="W48" s="388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862" t="str">
        <f>A49</f>
        <v>比较价值（元/平方米）</v>
      </c>
      <c r="Q49" s="3880"/>
      <c r="R49" s="3881" t="e">
        <f>IF(F1="售价",ROUND(PRODUCT(R48,AA7:AA47),0),ROUND(PRODUCT(R48,AA7:AA47),1))</f>
        <v>#DIV/0!</v>
      </c>
      <c r="S49" s="3881"/>
      <c r="T49" s="3881" t="e">
        <f>IF(F1="售价",ROUND(PRODUCT(T48,AB7:AB47),0),ROUND(PRODUCT(T48,AB7:AB47),1))</f>
        <v>#DIV/0!</v>
      </c>
      <c r="U49" s="3881"/>
      <c r="V49" s="3881" t="e">
        <f>IF(F1="售价",ROUND(PRODUCT(V48,AC7:AC47),0),ROUND(PRODUCT(V48,AC7:AC47),1))</f>
        <v>#DIV/0!</v>
      </c>
      <c r="W49" s="388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903" t="str">
        <f>A50</f>
        <v>估价对象XX用房的比较价值（楼面单价，元/平方米）</v>
      </c>
      <c r="Q50" s="3904"/>
      <c r="R50" s="3905" t="e">
        <f>IF(F1="售价",ROUND(IF(D49="简单平均",AVERAGE(R49:V49),R49*F49+T49*H49+V49*J49),0),ROUND(IF(D49="简单平均",AVERAGE(R49:V49),R49*F49+T49*H49+V49*J49),1))</f>
        <v>#DIV/0!</v>
      </c>
      <c r="S50" s="3905"/>
      <c r="T50" s="3905"/>
      <c r="U50" s="3905"/>
      <c r="V50" s="3905"/>
      <c r="W50" s="390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13"/>
  <sheetViews>
    <sheetView view="pageBreakPreview" topLeftCell="B26" zoomScale="90" zoomScaleNormal="60" zoomScaleSheetLayoutView="90" workbookViewId="0">
      <selection activeCell="I38" sqref="I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1" t="s">
        <v>3416</v>
      </c>
      <c r="F1" s="1879" t="s">
        <v>3813</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IF(E1="项目模式",IF(C2="——",ROUND(C43*D3/10000,0),ROUND(C43*D3/10000,0)-D2),IF(E1="单套模式",IF(C2="——",ROUND(C43*D3/10000,4),ROUND(C43*D3/10000,4)-D2)))</f>
        <v>1</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686</v>
      </c>
      <c r="B3" s="558">
        <f>IF(C2="——",C43,ROUND(B2*10000/D3,0))</f>
        <v>2</v>
      </c>
      <c r="C3" s="354" t="s">
        <v>1665</v>
      </c>
      <c r="D3" s="353">
        <f>IF(D1="",'数据-汇总表'!E3,SUMIF('数据-汇总表'!$C19:$C33,D1,'数据-汇总表'!$E19:$E33))</f>
        <v>5605.5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1666</v>
      </c>
      <c r="B4" s="356"/>
      <c r="C4" s="3863" t="s">
        <v>1667</v>
      </c>
      <c r="D4" s="3864"/>
      <c r="E4" s="3865" t="s">
        <v>1668</v>
      </c>
      <c r="F4" s="3866"/>
      <c r="G4" s="3863" t="s">
        <v>1669</v>
      </c>
      <c r="H4" s="3864"/>
      <c r="I4" s="3863" t="s">
        <v>1670</v>
      </c>
      <c r="J4" s="3864"/>
      <c r="K4" s="559" t="s">
        <v>1671</v>
      </c>
      <c r="L4" s="913"/>
      <c r="M4" s="914"/>
      <c r="N4" s="914"/>
      <c r="O4" s="914"/>
      <c r="P4" s="3867" t="s">
        <v>1672</v>
      </c>
      <c r="Q4" s="3868"/>
      <c r="R4" s="3850" t="s">
        <v>1668</v>
      </c>
      <c r="S4" s="3851"/>
      <c r="T4" s="3850" t="s">
        <v>1669</v>
      </c>
      <c r="U4" s="3851"/>
      <c r="V4" s="3875" t="s">
        <v>1670</v>
      </c>
      <c r="W4" s="3875"/>
      <c r="X4" s="3455"/>
      <c r="Y4" s="3850" t="s">
        <v>1672</v>
      </c>
      <c r="Z4" s="3851"/>
      <c r="AA4" s="3845" t="s">
        <v>1668</v>
      </c>
      <c r="AB4" s="3846" t="s">
        <v>1669</v>
      </c>
      <c r="AC4" s="3845" t="s">
        <v>1670</v>
      </c>
    </row>
    <row r="5" spans="1:29" ht="15">
      <c r="A5" s="358"/>
      <c r="B5" s="359"/>
      <c r="C5" s="3856" t="s">
        <v>1673</v>
      </c>
      <c r="D5" s="3857"/>
      <c r="E5" s="3907" t="s">
        <v>3844</v>
      </c>
      <c r="F5" s="3855"/>
      <c r="G5" s="3908" t="s">
        <v>3845</v>
      </c>
      <c r="H5" s="3857"/>
      <c r="I5" s="3908" t="s">
        <v>3848</v>
      </c>
      <c r="J5" s="3857"/>
      <c r="K5" s="559"/>
      <c r="L5" s="913"/>
      <c r="M5" s="914"/>
      <c r="N5" s="914"/>
      <c r="O5" s="914"/>
      <c r="P5" s="3869"/>
      <c r="Q5" s="3870"/>
      <c r="R5" s="3852"/>
      <c r="S5" s="3853"/>
      <c r="T5" s="3852"/>
      <c r="U5" s="3853"/>
      <c r="V5" s="3875"/>
      <c r="W5" s="3875"/>
      <c r="X5" s="3455"/>
      <c r="Y5" s="3852"/>
      <c r="Z5" s="3853"/>
      <c r="AA5" s="3846"/>
      <c r="AB5" s="3846"/>
      <c r="AC5" s="3846"/>
    </row>
    <row r="6" spans="1:29" ht="15.75" thickBot="1">
      <c r="A6" s="360"/>
      <c r="B6" s="361"/>
      <c r="C6" s="3858" t="s">
        <v>1677</v>
      </c>
      <c r="D6" s="3859"/>
      <c r="E6" s="3860" t="s">
        <v>1677</v>
      </c>
      <c r="F6" s="3861"/>
      <c r="G6" s="3858" t="s">
        <v>1677</v>
      </c>
      <c r="H6" s="3859"/>
      <c r="I6" s="3858" t="s">
        <v>1677</v>
      </c>
      <c r="J6" s="3859"/>
      <c r="K6" s="559" t="s">
        <v>1678</v>
      </c>
      <c r="L6" s="913"/>
      <c r="M6" s="914"/>
      <c r="N6" s="914"/>
      <c r="O6" s="914"/>
      <c r="P6" s="3871"/>
      <c r="Q6" s="3872"/>
      <c r="R6" s="3852"/>
      <c r="S6" s="3853"/>
      <c r="T6" s="3873"/>
      <c r="U6" s="3874"/>
      <c r="V6" s="3875"/>
      <c r="W6" s="3875"/>
      <c r="X6" s="3455"/>
      <c r="Y6" s="3873"/>
      <c r="Z6" s="3874"/>
      <c r="AA6" s="3847"/>
      <c r="AB6" s="3847"/>
      <c r="AC6" s="3847"/>
    </row>
    <row r="7" spans="1:29" s="108" customFormat="1" ht="15.75" thickBot="1">
      <c r="A7" s="362" t="s">
        <v>1679</v>
      </c>
      <c r="B7" s="363"/>
      <c r="C7" s="364">
        <f>'数据-取费表'!B2</f>
        <v>45056</v>
      </c>
      <c r="D7" s="365">
        <v>100</v>
      </c>
      <c r="E7" s="366">
        <v>45047</v>
      </c>
      <c r="F7" s="367">
        <f>SUMIF(52:52,YEAR(E7)&amp;"-"&amp;MONTH(E7),53:53)</f>
        <v>100</v>
      </c>
      <c r="G7" s="366">
        <v>45047</v>
      </c>
      <c r="H7" s="365">
        <f>SUMIF(52:52,YEAR(G7)&amp;"-"&amp;MONTH(G7),53:53)</f>
        <v>100</v>
      </c>
      <c r="I7" s="366">
        <v>45047</v>
      </c>
      <c r="J7" s="365">
        <f>SUMIF(52:52,YEAR(I7)&amp;"-"&amp;MONTH(I7),53:53)</f>
        <v>100</v>
      </c>
      <c r="K7" s="560"/>
      <c r="L7" s="915"/>
      <c r="M7" s="916"/>
      <c r="N7" s="916"/>
      <c r="O7" s="916"/>
      <c r="P7" s="3848" t="s">
        <v>1680</v>
      </c>
      <c r="Q7" s="3876"/>
      <c r="R7" s="701" t="s">
        <v>14</v>
      </c>
      <c r="S7" s="702">
        <f t="shared" ref="S7:S15" si="0">F7</f>
        <v>100</v>
      </c>
      <c r="T7" s="701" t="s">
        <v>14</v>
      </c>
      <c r="U7" s="702">
        <f t="shared" ref="U7:U15" si="1">H7</f>
        <v>100</v>
      </c>
      <c r="V7" s="701" t="s">
        <v>14</v>
      </c>
      <c r="W7" s="702">
        <f t="shared" ref="W7:W15" si="2">J7</f>
        <v>100</v>
      </c>
      <c r="X7" s="703"/>
      <c r="Y7" s="3848" t="s">
        <v>1680</v>
      </c>
      <c r="Z7" s="3849"/>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8" t="s">
        <v>1683</v>
      </c>
      <c r="Q8" s="3849"/>
      <c r="R8" s="701" t="s">
        <v>14</v>
      </c>
      <c r="S8" s="702">
        <f t="shared" si="0"/>
        <v>100</v>
      </c>
      <c r="T8" s="701" t="s">
        <v>14</v>
      </c>
      <c r="U8" s="702">
        <f t="shared" si="1"/>
        <v>100</v>
      </c>
      <c r="V8" s="701" t="s">
        <v>14</v>
      </c>
      <c r="W8" s="702">
        <f t="shared" si="2"/>
        <v>100</v>
      </c>
      <c r="X8" s="703"/>
      <c r="Y8" s="3848" t="s">
        <v>1683</v>
      </c>
      <c r="Z8" s="384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80" t="s">
        <v>1686</v>
      </c>
      <c r="Q9" s="3454" t="str">
        <f t="shared" ref="Q9:Q15" si="6">B9</f>
        <v>用途</v>
      </c>
      <c r="R9" s="701" t="s">
        <v>14</v>
      </c>
      <c r="S9" s="702">
        <f t="shared" si="0"/>
        <v>100</v>
      </c>
      <c r="T9" s="701" t="s">
        <v>14</v>
      </c>
      <c r="U9" s="702">
        <f t="shared" si="1"/>
        <v>100</v>
      </c>
      <c r="V9" s="701" t="s">
        <v>14</v>
      </c>
      <c r="W9" s="702">
        <f t="shared" si="2"/>
        <v>100</v>
      </c>
      <c r="X9" s="703"/>
      <c r="Y9" s="3795" t="s">
        <v>1687</v>
      </c>
      <c r="Z9" s="3453"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80"/>
      <c r="Q10" s="3454" t="str">
        <f t="shared" si="6"/>
        <v>土地使用年限（年）</v>
      </c>
      <c r="R10" s="701" t="s">
        <v>14</v>
      </c>
      <c r="S10" s="702">
        <f t="shared" si="0"/>
        <v>100</v>
      </c>
      <c r="T10" s="701" t="s">
        <v>14</v>
      </c>
      <c r="U10" s="702">
        <f t="shared" si="1"/>
        <v>100</v>
      </c>
      <c r="V10" s="701" t="s">
        <v>14</v>
      </c>
      <c r="W10" s="702">
        <f t="shared" si="2"/>
        <v>100</v>
      </c>
      <c r="X10" s="703"/>
      <c r="Y10" s="3795"/>
      <c r="Z10" s="3453"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80"/>
      <c r="Q11" s="3454" t="str">
        <f t="shared" si="6"/>
        <v>容积率</v>
      </c>
      <c r="R11" s="701" t="s">
        <v>14</v>
      </c>
      <c r="S11" s="702">
        <f t="shared" si="0"/>
        <v>100</v>
      </c>
      <c r="T11" s="701" t="s">
        <v>14</v>
      </c>
      <c r="U11" s="702">
        <f t="shared" si="1"/>
        <v>100</v>
      </c>
      <c r="V11" s="701" t="s">
        <v>14</v>
      </c>
      <c r="W11" s="702">
        <f t="shared" si="2"/>
        <v>100</v>
      </c>
      <c r="X11" s="703"/>
      <c r="Y11" s="3795"/>
      <c r="Z11" s="3453" t="str">
        <f t="shared" si="7"/>
        <v>容积率</v>
      </c>
      <c r="AA11" s="704">
        <f t="shared" si="3"/>
        <v>1</v>
      </c>
      <c r="AB11" s="704">
        <f t="shared" si="4"/>
        <v>1</v>
      </c>
      <c r="AC11" s="704">
        <f t="shared" si="5"/>
        <v>1</v>
      </c>
    </row>
    <row r="12" spans="1:29" s="108" customFormat="1" ht="15">
      <c r="A12" s="382"/>
      <c r="B12" s="3605" t="s">
        <v>3824</v>
      </c>
      <c r="C12" s="3625" t="s">
        <v>3822</v>
      </c>
      <c r="D12" s="3626">
        <v>100</v>
      </c>
      <c r="E12" s="3627" t="s">
        <v>3823</v>
      </c>
      <c r="F12" s="3628">
        <f>SUMIF(64:64,E12,65:65)-SUMIF(64:64,C12,65:65)+100</f>
        <v>105</v>
      </c>
      <c r="G12" s="3627" t="s">
        <v>3823</v>
      </c>
      <c r="H12" s="3628">
        <f>SUMIF(64:64,G12,65:65)-SUMIF(64:64,C12,65:65)+100</f>
        <v>105</v>
      </c>
      <c r="I12" s="3627" t="s">
        <v>3823</v>
      </c>
      <c r="J12" s="127">
        <f>SUMIF(64:64,I12,65:65)-SUMIF(64:64,C12,65:65)+100</f>
        <v>105</v>
      </c>
      <c r="K12" s="562"/>
      <c r="L12" s="915"/>
      <c r="M12" s="916"/>
      <c r="N12" s="916"/>
      <c r="O12" s="917"/>
      <c r="P12" s="3880"/>
      <c r="Q12" s="3454" t="str">
        <f t="shared" si="6"/>
        <v>租赁方式</v>
      </c>
      <c r="R12" s="701" t="s">
        <v>14</v>
      </c>
      <c r="S12" s="702">
        <f t="shared" si="0"/>
        <v>105</v>
      </c>
      <c r="T12" s="701" t="s">
        <v>14</v>
      </c>
      <c r="U12" s="702">
        <f t="shared" si="1"/>
        <v>105</v>
      </c>
      <c r="V12" s="701" t="s">
        <v>14</v>
      </c>
      <c r="W12" s="702">
        <f t="shared" si="2"/>
        <v>105</v>
      </c>
      <c r="X12" s="703"/>
      <c r="Y12" s="3795"/>
      <c r="Z12" s="3453" t="str">
        <f t="shared" si="7"/>
        <v>租赁方式</v>
      </c>
      <c r="AA12" s="704">
        <f>D12/F12</f>
        <v>0.95238095238095233</v>
      </c>
      <c r="AB12" s="704">
        <f>D12/H12</f>
        <v>0.95238095238095233</v>
      </c>
      <c r="AC12" s="704">
        <f>D12/J12</f>
        <v>0.95238095238095233</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80"/>
      <c r="Q13" s="3454">
        <f t="shared" si="6"/>
        <v>111</v>
      </c>
      <c r="R13" s="701" t="s">
        <v>14</v>
      </c>
      <c r="S13" s="702">
        <f t="shared" si="0"/>
        <v>100</v>
      </c>
      <c r="T13" s="701" t="s">
        <v>14</v>
      </c>
      <c r="U13" s="702">
        <f t="shared" si="1"/>
        <v>100</v>
      </c>
      <c r="V13" s="701" t="s">
        <v>14</v>
      </c>
      <c r="W13" s="702">
        <f t="shared" si="2"/>
        <v>100</v>
      </c>
      <c r="X13" s="703"/>
      <c r="Y13" s="3795"/>
      <c r="Z13" s="3453">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80"/>
      <c r="Q14" s="3454">
        <f t="shared" si="6"/>
        <v>111</v>
      </c>
      <c r="R14" s="701" t="s">
        <v>14</v>
      </c>
      <c r="S14" s="702">
        <f t="shared" si="0"/>
        <v>100</v>
      </c>
      <c r="T14" s="701" t="s">
        <v>14</v>
      </c>
      <c r="U14" s="702">
        <f t="shared" si="1"/>
        <v>100</v>
      </c>
      <c r="V14" s="701" t="s">
        <v>14</v>
      </c>
      <c r="W14" s="702">
        <f t="shared" si="2"/>
        <v>100</v>
      </c>
      <c r="X14" s="703"/>
      <c r="Y14" s="3795"/>
      <c r="Z14" s="3453">
        <f t="shared" si="7"/>
        <v>111</v>
      </c>
      <c r="AA14" s="704">
        <f t="shared" si="3"/>
        <v>1</v>
      </c>
      <c r="AB14" s="704">
        <f t="shared" si="4"/>
        <v>1</v>
      </c>
      <c r="AC14" s="704">
        <f t="shared" si="5"/>
        <v>1</v>
      </c>
    </row>
    <row r="15" spans="1:29" ht="43.5" customHeight="1">
      <c r="A15" s="391" t="s">
        <v>1690</v>
      </c>
      <c r="B15" s="61" t="s">
        <v>1827</v>
      </c>
      <c r="C15" s="1971" t="str">
        <f>估价对象房地状况!G3</f>
        <v>估价对象位于亦庄开发区，周边有瑞森国际大厦、易城时代广场、嘉捷BOX企业汇、亦庄生物医药园，园区建设成熟度较好，产业集聚程度较好</v>
      </c>
      <c r="D15" s="392">
        <v>100</v>
      </c>
      <c r="E15" s="393"/>
      <c r="F15" s="394">
        <f>SUMIF(70:70,E16,71:71)-SUMIF(70:70,C16,71:71)+100</f>
        <v>100</v>
      </c>
      <c r="G15" s="395"/>
      <c r="H15" s="392">
        <f>SUMIF(70:70,G16,71:71)-SUMIF(70:70,C16,71:71)+100</f>
        <v>100</v>
      </c>
      <c r="I15" s="393"/>
      <c r="J15" s="392">
        <f>SUMIF(70:70,I16,71:71)-SUMIF(70:70,C16,71:71)+100</f>
        <v>100</v>
      </c>
      <c r="K15" s="563">
        <v>5</v>
      </c>
      <c r="L15" s="923"/>
      <c r="M15" s="914"/>
      <c r="N15" s="914"/>
      <c r="O15" s="922"/>
      <c r="P15" s="3882" t="s">
        <v>1691</v>
      </c>
      <c r="Q15" s="3457" t="str">
        <f t="shared" si="6"/>
        <v>产业集聚程度</v>
      </c>
      <c r="R15" s="705" t="s">
        <v>14</v>
      </c>
      <c r="S15" s="706">
        <f t="shared" si="0"/>
        <v>100</v>
      </c>
      <c r="T15" s="705" t="s">
        <v>14</v>
      </c>
      <c r="U15" s="706">
        <f t="shared" si="1"/>
        <v>100</v>
      </c>
      <c r="V15" s="705" t="s">
        <v>14</v>
      </c>
      <c r="W15" s="706">
        <f t="shared" si="2"/>
        <v>100</v>
      </c>
      <c r="X15" s="3455"/>
      <c r="Y15" s="3882" t="s">
        <v>1691</v>
      </c>
      <c r="Z15" s="3456" t="str">
        <f t="shared" si="7"/>
        <v>产业集聚程度</v>
      </c>
      <c r="AA15" s="3458">
        <f t="shared" si="3"/>
        <v>1</v>
      </c>
      <c r="AB15" s="3458">
        <f t="shared" si="4"/>
        <v>1</v>
      </c>
      <c r="AC15" s="3458">
        <f t="shared" si="5"/>
        <v>1</v>
      </c>
    </row>
    <row r="16" spans="1:29" ht="15">
      <c r="A16" s="379"/>
      <c r="B16" s="397"/>
      <c r="C16" s="398" t="s">
        <v>3413</v>
      </c>
      <c r="D16" s="399"/>
      <c r="E16" s="398" t="s">
        <v>3413</v>
      </c>
      <c r="F16" s="400"/>
      <c r="G16" s="398" t="s">
        <v>3413</v>
      </c>
      <c r="H16" s="401"/>
      <c r="I16" s="398" t="s">
        <v>3413</v>
      </c>
      <c r="J16" s="399"/>
      <c r="K16" s="564"/>
      <c r="L16" s="923"/>
      <c r="M16" s="914"/>
      <c r="N16" s="914"/>
      <c r="O16" s="922"/>
      <c r="P16" s="3883"/>
      <c r="Q16" s="3457"/>
      <c r="R16" s="705"/>
      <c r="S16" s="706"/>
      <c r="T16" s="705"/>
      <c r="U16" s="706"/>
      <c r="V16" s="705"/>
      <c r="W16" s="706"/>
      <c r="X16" s="3455"/>
      <c r="Y16" s="3883"/>
      <c r="Z16" s="3456"/>
      <c r="AA16" s="3458">
        <v>1</v>
      </c>
      <c r="AB16" s="3458">
        <v>1</v>
      </c>
      <c r="AC16" s="3458">
        <v>1</v>
      </c>
    </row>
    <row r="17" spans="1:29" ht="44.25" customHeight="1">
      <c r="A17" s="379"/>
      <c r="B17" s="402" t="s">
        <v>1259</v>
      </c>
      <c r="C17" s="1900" t="str">
        <f>估价对象房地状况!G4</f>
        <v>估价对象距离亦庄T1线定海园西站约1.5公里，距离京沪高速约1.2公里；周边有兴58路、兴78路、专185路等公交线路途径并设立站点，综合评价交通便捷度较好。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83"/>
      <c r="Q17" s="3457" t="str">
        <f>B17</f>
        <v>交通便捷度</v>
      </c>
      <c r="R17" s="705" t="s">
        <v>14</v>
      </c>
      <c r="S17" s="706">
        <f>F17</f>
        <v>100</v>
      </c>
      <c r="T17" s="705" t="s">
        <v>14</v>
      </c>
      <c r="U17" s="706">
        <f>H17</f>
        <v>100</v>
      </c>
      <c r="V17" s="705" t="s">
        <v>14</v>
      </c>
      <c r="W17" s="706">
        <f>J17</f>
        <v>100</v>
      </c>
      <c r="X17" s="3455"/>
      <c r="Y17" s="3883"/>
      <c r="Z17" s="3456" t="str">
        <f>Q17</f>
        <v>交通便捷度</v>
      </c>
      <c r="AA17" s="3458">
        <f t="shared" si="3"/>
        <v>1</v>
      </c>
      <c r="AB17" s="3458">
        <f t="shared" si="4"/>
        <v>1</v>
      </c>
      <c r="AC17" s="3458">
        <f t="shared" si="5"/>
        <v>1</v>
      </c>
    </row>
    <row r="18" spans="1:29" ht="15">
      <c r="A18" s="379"/>
      <c r="B18" s="407"/>
      <c r="C18" s="1901" t="s">
        <v>3413</v>
      </c>
      <c r="D18" s="401"/>
      <c r="E18" s="1901" t="s">
        <v>3413</v>
      </c>
      <c r="F18" s="404"/>
      <c r="G18" s="1901" t="s">
        <v>3413</v>
      </c>
      <c r="H18" s="399"/>
      <c r="I18" s="1901" t="s">
        <v>3413</v>
      </c>
      <c r="J18" s="399"/>
      <c r="K18" s="564"/>
      <c r="L18" s="923"/>
      <c r="M18" s="914"/>
      <c r="N18" s="914"/>
      <c r="O18" s="922"/>
      <c r="P18" s="3883"/>
      <c r="Q18" s="3457"/>
      <c r="R18" s="705"/>
      <c r="S18" s="706"/>
      <c r="T18" s="705"/>
      <c r="U18" s="706"/>
      <c r="V18" s="705"/>
      <c r="W18" s="706"/>
      <c r="X18" s="3455"/>
      <c r="Y18" s="3883"/>
      <c r="Z18" s="3456"/>
      <c r="AA18" s="3458">
        <v>1</v>
      </c>
      <c r="AB18" s="3458">
        <v>1</v>
      </c>
      <c r="AC18" s="3458">
        <v>1</v>
      </c>
    </row>
    <row r="19" spans="1:29" ht="45.75" customHeight="1">
      <c r="A19" s="379"/>
      <c r="B19" s="402" t="s">
        <v>1812</v>
      </c>
      <c r="C19" s="1900" t="str">
        <f>估价对象房地状况!G5</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83"/>
      <c r="Q19" s="3457" t="str">
        <f>B19</f>
        <v>公共配套设施</v>
      </c>
      <c r="R19" s="705" t="s">
        <v>14</v>
      </c>
      <c r="S19" s="706">
        <f>F19</f>
        <v>100</v>
      </c>
      <c r="T19" s="705" t="s">
        <v>14</v>
      </c>
      <c r="U19" s="706">
        <f>H19</f>
        <v>100</v>
      </c>
      <c r="V19" s="705" t="s">
        <v>14</v>
      </c>
      <c r="W19" s="706">
        <f>J19</f>
        <v>100</v>
      </c>
      <c r="X19" s="3455"/>
      <c r="Y19" s="3883"/>
      <c r="Z19" s="3456" t="str">
        <f>Q19</f>
        <v>公共配套设施</v>
      </c>
      <c r="AA19" s="3458">
        <f t="shared" si="3"/>
        <v>1</v>
      </c>
      <c r="AB19" s="3458">
        <f t="shared" si="4"/>
        <v>1</v>
      </c>
      <c r="AC19" s="3458">
        <f t="shared" si="5"/>
        <v>1</v>
      </c>
    </row>
    <row r="20" spans="1:29" ht="15">
      <c r="A20" s="379"/>
      <c r="B20" s="407"/>
      <c r="C20" s="398" t="s">
        <v>3414</v>
      </c>
      <c r="D20" s="399"/>
      <c r="E20" s="1898" t="s">
        <v>3414</v>
      </c>
      <c r="F20" s="400"/>
      <c r="G20" s="1897" t="s">
        <v>3414</v>
      </c>
      <c r="H20" s="399"/>
      <c r="I20" s="1898" t="s">
        <v>3414</v>
      </c>
      <c r="J20" s="399"/>
      <c r="K20" s="564"/>
      <c r="L20" s="923"/>
      <c r="M20" s="914"/>
      <c r="N20" s="914"/>
      <c r="O20" s="922"/>
      <c r="P20" s="3883"/>
      <c r="Q20" s="3457"/>
      <c r="R20" s="705"/>
      <c r="S20" s="706"/>
      <c r="T20" s="705"/>
      <c r="U20" s="706"/>
      <c r="V20" s="705"/>
      <c r="W20" s="706"/>
      <c r="X20" s="3455"/>
      <c r="Y20" s="3883"/>
      <c r="Z20" s="3456"/>
      <c r="AA20" s="3458">
        <v>1</v>
      </c>
      <c r="AB20" s="3458">
        <v>1</v>
      </c>
      <c r="AC20" s="3458">
        <v>1</v>
      </c>
    </row>
    <row r="21" spans="1:29" ht="42.75">
      <c r="A21" s="379"/>
      <c r="B21" s="1131" t="s">
        <v>1813</v>
      </c>
      <c r="C21" s="1900" t="str">
        <f>估价对象房地状况!G6</f>
        <v>估价对象所在区域基础设施水平-五通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83"/>
      <c r="Q21" s="3457" t="str">
        <f>B21</f>
        <v>基础设施水平</v>
      </c>
      <c r="R21" s="705" t="s">
        <v>14</v>
      </c>
      <c r="S21" s="706">
        <f>F21</f>
        <v>100</v>
      </c>
      <c r="T21" s="705" t="s">
        <v>14</v>
      </c>
      <c r="U21" s="706">
        <f>H21</f>
        <v>100</v>
      </c>
      <c r="V21" s="705" t="s">
        <v>14</v>
      </c>
      <c r="W21" s="706">
        <f>J21</f>
        <v>100</v>
      </c>
      <c r="X21" s="3455"/>
      <c r="Y21" s="3883"/>
      <c r="Z21" s="3456" t="str">
        <f>Q21</f>
        <v>基础设施水平</v>
      </c>
      <c r="AA21" s="3458">
        <f t="shared" ref="AA21" si="8">D21/F21</f>
        <v>1</v>
      </c>
      <c r="AB21" s="3458">
        <f t="shared" ref="AB21" si="9">D21/H21</f>
        <v>1</v>
      </c>
      <c r="AC21" s="3458">
        <f t="shared" ref="AC21" si="10">D21/J21</f>
        <v>1</v>
      </c>
    </row>
    <row r="22" spans="1:29" ht="15">
      <c r="A22" s="379"/>
      <c r="B22" s="1131"/>
      <c r="C22" s="1901" t="s">
        <v>3816</v>
      </c>
      <c r="D22" s="399"/>
      <c r="E22" s="398" t="s">
        <v>3816</v>
      </c>
      <c r="F22" s="400"/>
      <c r="G22" s="398" t="s">
        <v>3816</v>
      </c>
      <c r="H22" s="399"/>
      <c r="I22" s="398" t="s">
        <v>3816</v>
      </c>
      <c r="J22" s="399"/>
      <c r="K22" s="1130"/>
      <c r="L22" s="923"/>
      <c r="M22" s="914"/>
      <c r="N22" s="914"/>
      <c r="O22" s="922"/>
      <c r="P22" s="3883"/>
      <c r="Q22" s="3457"/>
      <c r="R22" s="705"/>
      <c r="S22" s="706"/>
      <c r="T22" s="705"/>
      <c r="U22" s="706"/>
      <c r="V22" s="705"/>
      <c r="W22" s="706"/>
      <c r="X22" s="3455"/>
      <c r="Y22" s="3883"/>
      <c r="Z22" s="3456"/>
      <c r="AA22" s="3458">
        <v>1</v>
      </c>
      <c r="AB22" s="3458">
        <v>1</v>
      </c>
      <c r="AC22" s="3458">
        <v>1</v>
      </c>
    </row>
    <row r="23" spans="1:29" ht="24" customHeight="1">
      <c r="A23" s="379"/>
      <c r="B23" s="402" t="s">
        <v>1814</v>
      </c>
      <c r="C23" s="1900" t="str">
        <f>估价对象房地状况!G7</f>
        <v>该园区内无污染型企业，绿化情况一般，卫生条件一般，整体环境状况一般</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83"/>
      <c r="Q23" s="3457" t="str">
        <f>B23</f>
        <v>环境质量</v>
      </c>
      <c r="R23" s="705" t="s">
        <v>14</v>
      </c>
      <c r="S23" s="706">
        <f>F23</f>
        <v>100</v>
      </c>
      <c r="T23" s="705" t="s">
        <v>14</v>
      </c>
      <c r="U23" s="706">
        <f>H23</f>
        <v>100</v>
      </c>
      <c r="V23" s="705" t="s">
        <v>14</v>
      </c>
      <c r="W23" s="706">
        <f>J23</f>
        <v>100</v>
      </c>
      <c r="X23" s="3455"/>
      <c r="Y23" s="3883"/>
      <c r="Z23" s="3456" t="str">
        <f>Q23</f>
        <v>环境质量</v>
      </c>
      <c r="AA23" s="3458">
        <f t="shared" si="3"/>
        <v>1</v>
      </c>
      <c r="AB23" s="3458">
        <f t="shared" si="4"/>
        <v>1</v>
      </c>
      <c r="AC23" s="3458">
        <f t="shared" si="5"/>
        <v>1</v>
      </c>
    </row>
    <row r="24" spans="1:29" ht="15">
      <c r="A24" s="379"/>
      <c r="B24" s="1131"/>
      <c r="C24" s="398" t="s">
        <v>3414</v>
      </c>
      <c r="D24" s="399"/>
      <c r="E24" s="1898" t="s">
        <v>3414</v>
      </c>
      <c r="F24" s="400"/>
      <c r="G24" s="1897" t="s">
        <v>3414</v>
      </c>
      <c r="H24" s="399"/>
      <c r="I24" s="1898" t="s">
        <v>3414</v>
      </c>
      <c r="J24" s="399"/>
      <c r="K24" s="564"/>
      <c r="L24" s="923"/>
      <c r="M24" s="914"/>
      <c r="N24" s="914"/>
      <c r="O24" s="922"/>
      <c r="P24" s="3883"/>
      <c r="Q24" s="3457"/>
      <c r="R24" s="705"/>
      <c r="S24" s="706"/>
      <c r="T24" s="705"/>
      <c r="U24" s="706"/>
      <c r="V24" s="705"/>
      <c r="W24" s="706"/>
      <c r="X24" s="3455"/>
      <c r="Y24" s="3883"/>
      <c r="Z24" s="3456"/>
      <c r="AA24" s="3458">
        <v>1</v>
      </c>
      <c r="AB24" s="3458">
        <v>1</v>
      </c>
      <c r="AC24" s="3458">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83"/>
      <c r="Q25" s="3457">
        <f>B25</f>
        <v>111</v>
      </c>
      <c r="R25" s="705" t="s">
        <v>14</v>
      </c>
      <c r="S25" s="706">
        <f>F25</f>
        <v>100</v>
      </c>
      <c r="T25" s="705" t="s">
        <v>14</v>
      </c>
      <c r="U25" s="706">
        <f>H25</f>
        <v>100</v>
      </c>
      <c r="V25" s="705" t="s">
        <v>14</v>
      </c>
      <c r="W25" s="706">
        <f>J25</f>
        <v>100</v>
      </c>
      <c r="X25" s="3455"/>
      <c r="Y25" s="3883"/>
      <c r="Z25" s="3456">
        <f>Q25</f>
        <v>111</v>
      </c>
      <c r="AA25" s="3458">
        <f t="shared" si="3"/>
        <v>1</v>
      </c>
      <c r="AB25" s="3458">
        <f t="shared" si="4"/>
        <v>1</v>
      </c>
      <c r="AC25" s="3458">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83"/>
      <c r="Q26" s="3457">
        <f t="shared" ref="Q26:Q40" si="11">B26</f>
        <v>111</v>
      </c>
      <c r="R26" s="705" t="s">
        <v>14</v>
      </c>
      <c r="S26" s="706">
        <f>F26</f>
        <v>100</v>
      </c>
      <c r="T26" s="705" t="s">
        <v>14</v>
      </c>
      <c r="U26" s="706">
        <f>H26</f>
        <v>100</v>
      </c>
      <c r="V26" s="705" t="s">
        <v>14</v>
      </c>
      <c r="W26" s="706">
        <f>J26</f>
        <v>100</v>
      </c>
      <c r="X26" s="3455"/>
      <c r="Y26" s="3883"/>
      <c r="Z26" s="3456">
        <f>Q26</f>
        <v>111</v>
      </c>
      <c r="AA26" s="3458">
        <f t="shared" si="3"/>
        <v>1</v>
      </c>
      <c r="AB26" s="3458">
        <f t="shared" si="4"/>
        <v>1</v>
      </c>
      <c r="AC26" s="3458">
        <f t="shared" si="5"/>
        <v>1</v>
      </c>
    </row>
    <row r="27" spans="1:29" s="108" customFormat="1" ht="15">
      <c r="A27" s="382"/>
      <c r="B27" s="1133">
        <v>111</v>
      </c>
      <c r="C27" s="385">
        <v>111</v>
      </c>
      <c r="D27" s="413">
        <v>100</v>
      </c>
      <c r="E27" s="385"/>
      <c r="F27" s="415">
        <f>SUMIF(84:84,E27,85:85)-SUMIF(84:84,C27,85:85)+100</f>
        <v>100</v>
      </c>
      <c r="G27" s="3606"/>
      <c r="H27" s="413">
        <f>SUMIF(84:84,G27,85:85)-SUMIF(84:84,C27,85:85)+100</f>
        <v>100</v>
      </c>
      <c r="I27" s="385"/>
      <c r="J27" s="413">
        <f>SUMIF(84:84,I27,85:85)-SUMIF(84:84,C27,85:85)+100</f>
        <v>100</v>
      </c>
      <c r="K27" s="562"/>
      <c r="L27" s="915"/>
      <c r="M27" s="916"/>
      <c r="N27" s="916"/>
      <c r="O27" s="917"/>
      <c r="P27" s="3883"/>
      <c r="Q27" s="3454">
        <f t="shared" si="11"/>
        <v>111</v>
      </c>
      <c r="R27" s="701" t="s">
        <v>14</v>
      </c>
      <c r="S27" s="702">
        <f>F27</f>
        <v>100</v>
      </c>
      <c r="T27" s="701" t="s">
        <v>14</v>
      </c>
      <c r="U27" s="702">
        <f>H27</f>
        <v>100</v>
      </c>
      <c r="V27" s="701" t="s">
        <v>14</v>
      </c>
      <c r="W27" s="702">
        <f>J27</f>
        <v>100</v>
      </c>
      <c r="X27" s="703"/>
      <c r="Y27" s="3883"/>
      <c r="Z27" s="3453">
        <f>Q27</f>
        <v>111</v>
      </c>
      <c r="AA27" s="3458">
        <f>D27/F27</f>
        <v>1</v>
      </c>
      <c r="AB27" s="3458">
        <f>D27/H27</f>
        <v>1</v>
      </c>
      <c r="AC27" s="3458">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83"/>
      <c r="Q28" s="3457">
        <f t="shared" si="11"/>
        <v>111</v>
      </c>
      <c r="R28" s="705" t="s">
        <v>14</v>
      </c>
      <c r="S28" s="706">
        <f t="shared" ref="S28:S40" si="12">F28</f>
        <v>100</v>
      </c>
      <c r="T28" s="705" t="s">
        <v>14</v>
      </c>
      <c r="U28" s="706">
        <f t="shared" ref="U28:U40" si="13">H28</f>
        <v>100</v>
      </c>
      <c r="V28" s="705" t="s">
        <v>14</v>
      </c>
      <c r="W28" s="706">
        <f t="shared" ref="W28:W40" si="14">J28</f>
        <v>100</v>
      </c>
      <c r="X28" s="3455"/>
      <c r="Y28" s="3883"/>
      <c r="Z28" s="3456">
        <f t="shared" ref="Z28:Z40" si="15">Q28</f>
        <v>111</v>
      </c>
      <c r="AA28" s="3458">
        <f t="shared" si="3"/>
        <v>1</v>
      </c>
      <c r="AB28" s="3458">
        <f t="shared" si="4"/>
        <v>1</v>
      </c>
      <c r="AC28" s="3458">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06" t="s">
        <v>1696</v>
      </c>
      <c r="Q29" s="3457" t="str">
        <f t="shared" si="11"/>
        <v>建筑类型</v>
      </c>
      <c r="R29" s="705" t="s">
        <v>14</v>
      </c>
      <c r="S29" s="706">
        <f t="shared" si="12"/>
        <v>100</v>
      </c>
      <c r="T29" s="705" t="s">
        <v>14</v>
      </c>
      <c r="U29" s="706">
        <f t="shared" si="13"/>
        <v>100</v>
      </c>
      <c r="V29" s="705" t="s">
        <v>14</v>
      </c>
      <c r="W29" s="706">
        <f t="shared" si="14"/>
        <v>100</v>
      </c>
      <c r="X29" s="3455"/>
      <c r="Y29" s="3887" t="s">
        <v>1696</v>
      </c>
      <c r="Z29" s="3456" t="str">
        <f t="shared" si="15"/>
        <v>建筑类型</v>
      </c>
      <c r="AA29" s="3458">
        <f t="shared" si="3"/>
        <v>1</v>
      </c>
      <c r="AB29" s="3458">
        <f t="shared" si="4"/>
        <v>1</v>
      </c>
      <c r="AC29" s="3458">
        <f t="shared" si="5"/>
        <v>1</v>
      </c>
    </row>
    <row r="30" spans="1:29" s="422" customFormat="1" ht="15">
      <c r="A30" s="419"/>
      <c r="B30" s="375" t="s">
        <v>1697</v>
      </c>
      <c r="C30" s="420">
        <f>'数据-汇总表'!F19</f>
        <v>5605.5</v>
      </c>
      <c r="D30" s="127">
        <v>100</v>
      </c>
      <c r="E30" s="381">
        <f>租金案例!B3</f>
        <v>313</v>
      </c>
      <c r="F30" s="376">
        <f>LOOKUP(E30,91:91,92:92)-LOOKUP(C30,91:91,92:92)+100</f>
        <v>102</v>
      </c>
      <c r="G30" s="380">
        <f>租金案例!B4</f>
        <v>1505</v>
      </c>
      <c r="H30" s="127">
        <f>LOOKUP(G30,91:91,92:92)-LOOKUP(C30,91:91,92:92)+100</f>
        <v>102</v>
      </c>
      <c r="I30" s="380">
        <f>租金案例!B5</f>
        <v>380</v>
      </c>
      <c r="J30" s="127">
        <f>LOOKUP(I30,91:91,92:92)-LOOKUP(C30,91:91,92:92)+100</f>
        <v>102</v>
      </c>
      <c r="K30" s="562"/>
      <c r="L30" s="921"/>
      <c r="M30" s="924"/>
      <c r="N30" s="924"/>
      <c r="O30" s="925"/>
      <c r="P30" s="3887"/>
      <c r="Q30" s="707" t="str">
        <f t="shared" si="11"/>
        <v>项目建筑规模</v>
      </c>
      <c r="R30" s="708" t="s">
        <v>14</v>
      </c>
      <c r="S30" s="709">
        <f t="shared" si="12"/>
        <v>102</v>
      </c>
      <c r="T30" s="708" t="s">
        <v>14</v>
      </c>
      <c r="U30" s="709">
        <f t="shared" si="13"/>
        <v>102</v>
      </c>
      <c r="V30" s="708" t="s">
        <v>14</v>
      </c>
      <c r="W30" s="709">
        <f t="shared" si="14"/>
        <v>102</v>
      </c>
      <c r="X30" s="710"/>
      <c r="Y30" s="3887"/>
      <c r="Z30" s="711" t="str">
        <f t="shared" si="15"/>
        <v>项目建筑规模</v>
      </c>
      <c r="AA30" s="3458">
        <f t="shared" si="3"/>
        <v>0.98039215686274506</v>
      </c>
      <c r="AB30" s="3458">
        <f t="shared" si="4"/>
        <v>0.98039215686274506</v>
      </c>
      <c r="AC30" s="3458">
        <f t="shared" si="5"/>
        <v>0.98039215686274506</v>
      </c>
    </row>
    <row r="31" spans="1:29" ht="15">
      <c r="A31" s="423"/>
      <c r="B31" s="375" t="s">
        <v>1698</v>
      </c>
      <c r="C31" s="411" t="s">
        <v>3393</v>
      </c>
      <c r="D31" s="386">
        <v>100</v>
      </c>
      <c r="E31" s="411" t="s">
        <v>3393</v>
      </c>
      <c r="F31" s="412">
        <f>SUMIF(93:93,E31,94:94)-SUMIF(93:93,C31,94:94)+100</f>
        <v>100</v>
      </c>
      <c r="G31" s="411" t="s">
        <v>3393</v>
      </c>
      <c r="H31" s="386">
        <f>SUMIF(93:93,G31,94:94)-SUMIF(93:93,C31,94:94)+100</f>
        <v>100</v>
      </c>
      <c r="I31" s="411" t="s">
        <v>3393</v>
      </c>
      <c r="J31" s="386">
        <f>SUMIF(93:93,I31,94:94)-SUMIF(93:93,C31,94:94)+100</f>
        <v>100</v>
      </c>
      <c r="K31" s="561"/>
      <c r="L31" s="923"/>
      <c r="M31" s="914"/>
      <c r="N31" s="914"/>
      <c r="O31" s="922"/>
      <c r="P31" s="3887"/>
      <c r="Q31" s="3457" t="str">
        <f t="shared" si="11"/>
        <v>建筑结构</v>
      </c>
      <c r="R31" s="705" t="s">
        <v>14</v>
      </c>
      <c r="S31" s="706">
        <f t="shared" si="12"/>
        <v>100</v>
      </c>
      <c r="T31" s="705" t="s">
        <v>14</v>
      </c>
      <c r="U31" s="706">
        <f t="shared" si="13"/>
        <v>100</v>
      </c>
      <c r="V31" s="705" t="s">
        <v>14</v>
      </c>
      <c r="W31" s="706">
        <f t="shared" si="14"/>
        <v>100</v>
      </c>
      <c r="X31" s="3455"/>
      <c r="Y31" s="3887"/>
      <c r="Z31" s="3456" t="str">
        <f t="shared" si="15"/>
        <v>建筑结构</v>
      </c>
      <c r="AA31" s="3458">
        <f t="shared" si="3"/>
        <v>1</v>
      </c>
      <c r="AB31" s="3458">
        <f t="shared" si="4"/>
        <v>1</v>
      </c>
      <c r="AC31" s="345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87"/>
      <c r="Q32" s="3457" t="str">
        <f t="shared" si="11"/>
        <v>公共部分装修</v>
      </c>
      <c r="R32" s="705" t="s">
        <v>14</v>
      </c>
      <c r="S32" s="706">
        <f t="shared" si="12"/>
        <v>100</v>
      </c>
      <c r="T32" s="705" t="s">
        <v>14</v>
      </c>
      <c r="U32" s="706">
        <f t="shared" si="13"/>
        <v>100</v>
      </c>
      <c r="V32" s="705" t="s">
        <v>14</v>
      </c>
      <c r="W32" s="706">
        <f t="shared" si="14"/>
        <v>100</v>
      </c>
      <c r="X32" s="3455"/>
      <c r="Y32" s="3887"/>
      <c r="Z32" s="3456" t="str">
        <f t="shared" si="15"/>
        <v>公共部分装修</v>
      </c>
      <c r="AA32" s="3458">
        <f t="shared" si="3"/>
        <v>1</v>
      </c>
      <c r="AB32" s="3458">
        <f t="shared" si="4"/>
        <v>1</v>
      </c>
      <c r="AC32" s="3458">
        <f t="shared" si="5"/>
        <v>1</v>
      </c>
    </row>
    <row r="33" spans="1:29" ht="15" hidden="1">
      <c r="A33" s="423"/>
      <c r="B33" s="375" t="s">
        <v>1786</v>
      </c>
      <c r="C33" s="3607">
        <v>0.79</v>
      </c>
      <c r="D33" s="386">
        <v>100</v>
      </c>
      <c r="E33" s="425">
        <v>0.79</v>
      </c>
      <c r="F33" s="412">
        <f>LOOKUP(E33,98:98,99:99)-LOOKUP(C33,98:98,99:99)+100</f>
        <v>100</v>
      </c>
      <c r="G33" s="425">
        <v>0.79</v>
      </c>
      <c r="H33" s="412">
        <f>LOOKUP(G33,98:98,99:99)-LOOKUP(C33,98:98,99:99)+100</f>
        <v>100</v>
      </c>
      <c r="I33" s="425">
        <v>0.79</v>
      </c>
      <c r="J33" s="386">
        <f>LOOKUP(I33,98:98,99:99)-LOOKUP(C33,98:98,99:99)+100</f>
        <v>100</v>
      </c>
      <c r="K33" s="561">
        <v>1</v>
      </c>
      <c r="L33" s="923"/>
      <c r="M33" s="914"/>
      <c r="N33" s="914"/>
      <c r="O33" s="922"/>
      <c r="P33" s="3887"/>
      <c r="Q33" s="3457" t="str">
        <f t="shared" si="11"/>
        <v>成新度</v>
      </c>
      <c r="R33" s="705" t="s">
        <v>14</v>
      </c>
      <c r="S33" s="706">
        <f t="shared" si="12"/>
        <v>100</v>
      </c>
      <c r="T33" s="705" t="s">
        <v>14</v>
      </c>
      <c r="U33" s="706">
        <f t="shared" si="13"/>
        <v>100</v>
      </c>
      <c r="V33" s="705" t="s">
        <v>14</v>
      </c>
      <c r="W33" s="706">
        <f t="shared" si="14"/>
        <v>100</v>
      </c>
      <c r="X33" s="3455"/>
      <c r="Y33" s="3887"/>
      <c r="Z33" s="3456" t="str">
        <f t="shared" si="15"/>
        <v>成新度</v>
      </c>
      <c r="AA33" s="3458">
        <f t="shared" si="3"/>
        <v>1</v>
      </c>
      <c r="AB33" s="3458">
        <f t="shared" si="4"/>
        <v>1</v>
      </c>
      <c r="AC33" s="3458">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87"/>
      <c r="Q34" s="3454" t="str">
        <f t="shared" si="11"/>
        <v>物业管理</v>
      </c>
      <c r="R34" s="701" t="s">
        <v>14</v>
      </c>
      <c r="S34" s="702">
        <f t="shared" si="12"/>
        <v>100</v>
      </c>
      <c r="T34" s="701" t="s">
        <v>14</v>
      </c>
      <c r="U34" s="702">
        <f t="shared" si="13"/>
        <v>100</v>
      </c>
      <c r="V34" s="701" t="s">
        <v>14</v>
      </c>
      <c r="W34" s="702">
        <f t="shared" si="14"/>
        <v>100</v>
      </c>
      <c r="X34" s="703"/>
      <c r="Y34" s="3887"/>
      <c r="Z34" s="3453"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87" t="s">
        <v>1696</v>
      </c>
      <c r="Q35" s="3457" t="str">
        <f t="shared" si="11"/>
        <v>市政基础设施</v>
      </c>
      <c r="R35" s="705" t="s">
        <v>14</v>
      </c>
      <c r="S35" s="706">
        <f t="shared" si="12"/>
        <v>100</v>
      </c>
      <c r="T35" s="705" t="s">
        <v>14</v>
      </c>
      <c r="U35" s="706">
        <f t="shared" si="13"/>
        <v>100</v>
      </c>
      <c r="V35" s="705" t="s">
        <v>14</v>
      </c>
      <c r="W35" s="706">
        <f t="shared" si="14"/>
        <v>100</v>
      </c>
      <c r="X35" s="3455"/>
      <c r="Y35" s="3887" t="s">
        <v>1696</v>
      </c>
      <c r="Z35" s="3456" t="str">
        <f t="shared" si="15"/>
        <v>市政基础设施</v>
      </c>
      <c r="AA35" s="3458">
        <f t="shared" si="3"/>
        <v>1</v>
      </c>
      <c r="AB35" s="3458">
        <f t="shared" si="4"/>
        <v>1</v>
      </c>
      <c r="AC35" s="3458">
        <f t="shared" si="5"/>
        <v>1</v>
      </c>
    </row>
    <row r="36" spans="1:29" ht="15">
      <c r="A36" s="423"/>
      <c r="B36" s="375" t="s">
        <v>1792</v>
      </c>
      <c r="C36" s="411" t="s">
        <v>3819</v>
      </c>
      <c r="D36" s="386">
        <v>100</v>
      </c>
      <c r="E36" s="411" t="s">
        <v>3819</v>
      </c>
      <c r="F36" s="412">
        <f>SUMIF(104:104,E36,105:105)-SUMIF(104:104,C36,105:105)+100</f>
        <v>100</v>
      </c>
      <c r="G36" s="411" t="s">
        <v>3819</v>
      </c>
      <c r="H36" s="386">
        <f>SUMIF(104:104,G36,105:105)-SUMIF(104:104,C36,105:105)+100</f>
        <v>100</v>
      </c>
      <c r="I36" s="411" t="s">
        <v>3819</v>
      </c>
      <c r="J36" s="386">
        <f>SUMIF(104:104,I36,105:105)-SUMIF(104:104,C36,105:105)+100</f>
        <v>100</v>
      </c>
      <c r="K36" s="561">
        <v>1</v>
      </c>
      <c r="L36" s="923"/>
      <c r="M36" s="914"/>
      <c r="N36" s="914"/>
      <c r="O36" s="922"/>
      <c r="P36" s="3887"/>
      <c r="Q36" s="3457" t="str">
        <f t="shared" si="11"/>
        <v>内部装修</v>
      </c>
      <c r="R36" s="705" t="s">
        <v>14</v>
      </c>
      <c r="S36" s="706">
        <f t="shared" si="12"/>
        <v>100</v>
      </c>
      <c r="T36" s="705" t="s">
        <v>14</v>
      </c>
      <c r="U36" s="706">
        <f t="shared" si="13"/>
        <v>100</v>
      </c>
      <c r="V36" s="705" t="s">
        <v>14</v>
      </c>
      <c r="W36" s="706">
        <f t="shared" si="14"/>
        <v>100</v>
      </c>
      <c r="X36" s="3455"/>
      <c r="Y36" s="3887"/>
      <c r="Z36" s="3456" t="str">
        <f t="shared" si="15"/>
        <v>内部装修</v>
      </c>
      <c r="AA36" s="3458">
        <f t="shared" si="3"/>
        <v>1</v>
      </c>
      <c r="AB36" s="3458">
        <f t="shared" si="4"/>
        <v>1</v>
      </c>
      <c r="AC36" s="3458">
        <f t="shared" si="5"/>
        <v>1</v>
      </c>
    </row>
    <row r="37" spans="1:29" ht="15.75" thickBot="1">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87"/>
      <c r="Q37" s="3457" t="str">
        <f t="shared" si="11"/>
        <v>内部装修状况</v>
      </c>
      <c r="R37" s="705" t="s">
        <v>14</v>
      </c>
      <c r="S37" s="706">
        <f t="shared" si="12"/>
        <v>100</v>
      </c>
      <c r="T37" s="705" t="s">
        <v>14</v>
      </c>
      <c r="U37" s="706">
        <f t="shared" si="13"/>
        <v>100</v>
      </c>
      <c r="V37" s="705" t="s">
        <v>14</v>
      </c>
      <c r="W37" s="706">
        <f t="shared" si="14"/>
        <v>100</v>
      </c>
      <c r="X37" s="3455"/>
      <c r="Y37" s="3887"/>
      <c r="Z37" s="3456" t="str">
        <f t="shared" si="15"/>
        <v>内部装修状况</v>
      </c>
      <c r="AA37" s="3458">
        <f t="shared" si="3"/>
        <v>1</v>
      </c>
      <c r="AB37" s="3458">
        <f t="shared" si="4"/>
        <v>1</v>
      </c>
      <c r="AC37" s="3458">
        <f t="shared" si="5"/>
        <v>1</v>
      </c>
    </row>
    <row r="38" spans="1:29" s="422" customFormat="1" ht="15.75" thickTop="1">
      <c r="A38" s="419"/>
      <c r="B38" s="3632" t="s">
        <v>3851</v>
      </c>
      <c r="C38" s="3604" t="s">
        <v>3852</v>
      </c>
      <c r="D38" s="386">
        <v>100</v>
      </c>
      <c r="E38" s="3604" t="s">
        <v>3852</v>
      </c>
      <c r="F38" s="412">
        <f>SUMIF(108:108,E38,109:109)-SUMIF(108:108,C38,109:109)+100</f>
        <v>100</v>
      </c>
      <c r="G38" s="3604" t="s">
        <v>3852</v>
      </c>
      <c r="H38" s="386">
        <f>SUMIF(108:108,G38,109:109)-SUMIF(108:108,C38,109:109)+100</f>
        <v>100</v>
      </c>
      <c r="I38" s="3604" t="s">
        <v>3852</v>
      </c>
      <c r="J38" s="386">
        <f>SUMIF(108:108,I38,109:1038)-SUMIF(108:108,C38,109:109)+100</f>
        <v>100</v>
      </c>
      <c r="K38" s="562"/>
      <c r="L38" s="921"/>
      <c r="M38" s="924"/>
      <c r="N38" s="924"/>
      <c r="O38" s="925"/>
      <c r="P38" s="3887"/>
      <c r="Q38" s="707" t="str">
        <f t="shared" si="11"/>
        <v>成新度</v>
      </c>
      <c r="R38" s="708" t="s">
        <v>14</v>
      </c>
      <c r="S38" s="709">
        <f t="shared" si="12"/>
        <v>100</v>
      </c>
      <c r="T38" s="708" t="s">
        <v>14</v>
      </c>
      <c r="U38" s="709">
        <f t="shared" si="13"/>
        <v>100</v>
      </c>
      <c r="V38" s="708" t="s">
        <v>14</v>
      </c>
      <c r="W38" s="709">
        <f t="shared" si="14"/>
        <v>100</v>
      </c>
      <c r="X38" s="710"/>
      <c r="Y38" s="3887"/>
      <c r="Z38" s="711" t="str">
        <f t="shared" si="15"/>
        <v>成新度</v>
      </c>
      <c r="AA38" s="3458">
        <f t="shared" si="3"/>
        <v>1</v>
      </c>
      <c r="AB38" s="3458">
        <f t="shared" si="4"/>
        <v>1</v>
      </c>
      <c r="AC38" s="3458">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87"/>
      <c r="Q39" s="3457">
        <f t="shared" si="11"/>
        <v>111</v>
      </c>
      <c r="R39" s="705" t="s">
        <v>14</v>
      </c>
      <c r="S39" s="706">
        <f t="shared" si="12"/>
        <v>100</v>
      </c>
      <c r="T39" s="705" t="s">
        <v>14</v>
      </c>
      <c r="U39" s="706">
        <f t="shared" si="13"/>
        <v>100</v>
      </c>
      <c r="V39" s="705" t="s">
        <v>14</v>
      </c>
      <c r="W39" s="706">
        <f t="shared" si="14"/>
        <v>100</v>
      </c>
      <c r="X39" s="3455"/>
      <c r="Y39" s="3887"/>
      <c r="Z39" s="3456">
        <f t="shared" si="15"/>
        <v>111</v>
      </c>
      <c r="AA39" s="3458">
        <f t="shared" si="3"/>
        <v>1</v>
      </c>
      <c r="AB39" s="3458">
        <f t="shared" si="4"/>
        <v>1</v>
      </c>
      <c r="AC39" s="3458">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88"/>
      <c r="Q40" s="3457">
        <f t="shared" si="11"/>
        <v>111</v>
      </c>
      <c r="R40" s="705" t="s">
        <v>14</v>
      </c>
      <c r="S40" s="706">
        <f t="shared" si="12"/>
        <v>100</v>
      </c>
      <c r="T40" s="705" t="s">
        <v>14</v>
      </c>
      <c r="U40" s="706">
        <f t="shared" si="13"/>
        <v>100</v>
      </c>
      <c r="V40" s="705" t="s">
        <v>14</v>
      </c>
      <c r="W40" s="706">
        <f t="shared" si="14"/>
        <v>100</v>
      </c>
      <c r="X40" s="3455"/>
      <c r="Y40" s="3888"/>
      <c r="Z40" s="3456">
        <f t="shared" si="15"/>
        <v>111</v>
      </c>
      <c r="AA40" s="3458">
        <f t="shared" si="3"/>
        <v>1</v>
      </c>
      <c r="AB40" s="3458">
        <f t="shared" si="4"/>
        <v>1</v>
      </c>
      <c r="AC40" s="3458">
        <f t="shared" si="5"/>
        <v>1</v>
      </c>
    </row>
    <row r="41" spans="1:29" ht="15">
      <c r="A41" s="430" t="s">
        <v>1708</v>
      </c>
      <c r="B41" s="431"/>
      <c r="C41" s="1154" t="s">
        <v>0</v>
      </c>
      <c r="D41" s="1155"/>
      <c r="E41" s="1156">
        <v>2.2000000000000002</v>
      </c>
      <c r="F41" s="1157"/>
      <c r="G41" s="1158">
        <v>2</v>
      </c>
      <c r="H41" s="1159"/>
      <c r="I41" s="1156">
        <v>2</v>
      </c>
      <c r="J41" s="1159"/>
      <c r="K41" s="714"/>
      <c r="L41" s="926"/>
      <c r="M41" s="927"/>
      <c r="N41" s="914"/>
      <c r="O41" s="927"/>
      <c r="P41" s="3880" t="str">
        <f>A41</f>
        <v>成交单价（元/平方米）</v>
      </c>
      <c r="Q41" s="3880"/>
      <c r="R41" s="3881">
        <f>E41</f>
        <v>2.2000000000000002</v>
      </c>
      <c r="S41" s="3881"/>
      <c r="T41" s="3881">
        <f>G41</f>
        <v>2</v>
      </c>
      <c r="U41" s="3881"/>
      <c r="V41" s="3881">
        <f>I41</f>
        <v>2</v>
      </c>
      <c r="W41" s="3881"/>
      <c r="X41" s="690"/>
      <c r="Y41" s="712"/>
      <c r="Z41" s="690"/>
      <c r="AA41" s="690"/>
      <c r="AB41" s="690"/>
      <c r="AC41" s="690"/>
    </row>
    <row r="42" spans="1:29" ht="15.75" thickBot="1">
      <c r="A42" s="437" t="s">
        <v>1709</v>
      </c>
      <c r="B42" s="438"/>
      <c r="C42" s="1160">
        <f>R43</f>
        <v>2</v>
      </c>
      <c r="D42" s="2317" t="s">
        <v>2138</v>
      </c>
      <c r="E42" s="1161">
        <f>R42</f>
        <v>2.1</v>
      </c>
      <c r="F42" s="2318"/>
      <c r="G42" s="1160">
        <f>T42</f>
        <v>1.9</v>
      </c>
      <c r="H42" s="2318"/>
      <c r="I42" s="1161">
        <f>V42</f>
        <v>1.9</v>
      </c>
      <c r="J42" s="2318"/>
      <c r="K42" s="2320">
        <f>F42+H42+J42</f>
        <v>0</v>
      </c>
      <c r="L42" s="926"/>
      <c r="M42" s="927"/>
      <c r="N42" s="914"/>
      <c r="O42" s="927"/>
      <c r="P42" s="3880" t="str">
        <f>A42</f>
        <v>比较价值（元/平方米）</v>
      </c>
      <c r="Q42" s="3880"/>
      <c r="R42" s="3881">
        <f>IF(F1="售价",ROUND(PRODUCT(R41,AA7:AA40),0),ROUND(PRODUCT(R41,AA7:AA40),1))</f>
        <v>2.1</v>
      </c>
      <c r="S42" s="3881"/>
      <c r="T42" s="3881">
        <f>IF(F1="售价",ROUND(PRODUCT(T41,AB7:AB40),0),ROUND(PRODUCT(T41,AB7:AB40),1))</f>
        <v>1.9</v>
      </c>
      <c r="U42" s="3881"/>
      <c r="V42" s="3881">
        <f>IF(F1="售价",ROUND(PRODUCT(V41,AC7:AC40),0),ROUND(PRODUCT(V41,AC7:AC40),1))</f>
        <v>1.9</v>
      </c>
      <c r="W42" s="3881"/>
      <c r="X42" s="690"/>
      <c r="Y42" s="690"/>
      <c r="Z42" s="690"/>
      <c r="AA42" s="690"/>
      <c r="AB42" s="690"/>
      <c r="AC42" s="690"/>
    </row>
    <row r="43" spans="1:29" ht="15.75" thickBot="1">
      <c r="A43" s="441" t="s">
        <v>1710</v>
      </c>
      <c r="B43" s="442"/>
      <c r="C43" s="1163">
        <f>R43</f>
        <v>2</v>
      </c>
      <c r="D43" s="1163"/>
      <c r="E43" s="1163"/>
      <c r="F43" s="1163"/>
      <c r="G43" s="1163"/>
      <c r="H43" s="1163"/>
      <c r="I43" s="1163"/>
      <c r="J43" s="1163"/>
      <c r="K43" s="715"/>
      <c r="L43" s="926"/>
      <c r="M43" s="927"/>
      <c r="N43" s="927"/>
      <c r="O43" s="927"/>
      <c r="P43" s="3877" t="str">
        <f>A43</f>
        <v>估价对象XX用房的比较价值（楼面单价，元/平方米）</v>
      </c>
      <c r="Q43" s="3878"/>
      <c r="R43" s="3879">
        <f>IF(F1="售价",ROUND(IF(D42="简单平均",AVERAGE(R42:V42),R42*F42+T42*H42+V42*J42),0),ROUND(IF(D42="简单平均",AVERAGE(R42:V42),R42*F42+T42*H42+V42*J42),1))</f>
        <v>2</v>
      </c>
      <c r="S43" s="3879"/>
      <c r="T43" s="3879"/>
      <c r="U43" s="3879"/>
      <c r="V43" s="3879"/>
      <c r="W43" s="3879"/>
      <c r="X43" s="690"/>
      <c r="Y43" s="690"/>
      <c r="Z43" s="690"/>
      <c r="AA43" s="690"/>
      <c r="AB43" s="690"/>
      <c r="AC43" s="690"/>
    </row>
    <row r="44" spans="1:29">
      <c r="A44" s="2723"/>
      <c r="B44" s="2723"/>
      <c r="C44" s="2723"/>
      <c r="D44" s="2723"/>
      <c r="E44" s="2723">
        <v>2010</v>
      </c>
      <c r="F44" s="2723"/>
      <c r="G44" s="2727">
        <v>20.12</v>
      </c>
      <c r="H44" s="2723"/>
      <c r="I44" s="2723">
        <v>2010</v>
      </c>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1711</v>
      </c>
      <c r="D46" s="447"/>
      <c r="E46" s="448">
        <f>IF(E41&lt;E42,E42/E41-1,E41/E42-1)</f>
        <v>4.7619047619047672E-2</v>
      </c>
      <c r="F46" s="449" t="str">
        <f>IF(OR(E46&gt;=0.3,E46&lt;=-0.3),"超过30%","")</f>
        <v/>
      </c>
      <c r="G46" s="448">
        <f>IF(G41&lt;G42,G42/G41-1,G41/G42-1)</f>
        <v>5.2631578947368363E-2</v>
      </c>
      <c r="H46" s="449" t="str">
        <f>IF(OR(G46&gt;=0.3,G46&lt;=-0.3),"超过30%","")</f>
        <v/>
      </c>
      <c r="I46" s="448">
        <f>IF(I41&lt;I42,I42/I41-1,I41/I42-1)</f>
        <v>5.2631578947368363E-2</v>
      </c>
      <c r="J46" s="449" t="str">
        <f>IF(OR(I46&gt;=0.3,I46&lt;=-0.3),"超过30%","")</f>
        <v/>
      </c>
      <c r="K46" s="2728"/>
      <c r="L46" s="889"/>
      <c r="M46" s="927"/>
      <c r="N46" s="927"/>
      <c r="O46" s="927"/>
    </row>
    <row r="47" spans="1:29" ht="13.5" customHeight="1">
      <c r="A47" s="2723"/>
      <c r="B47" s="2723"/>
      <c r="C47" s="446" t="s">
        <v>1712</v>
      </c>
      <c r="D47" s="450"/>
      <c r="E47" s="448">
        <f>IF(E42&lt;G42,G42/E42-1,E42/G42-1)</f>
        <v>0.10526315789473695</v>
      </c>
      <c r="F47" s="449" t="str">
        <f>IF(OR(E47&gt;=0.2,E47&lt;=-0.2),"超过20%","")</f>
        <v/>
      </c>
      <c r="G47" s="448">
        <f>IF(G42&lt;I42,I42/G42-1,G42/I42-1)</f>
        <v>0</v>
      </c>
      <c r="H47" s="449" t="str">
        <f>IF(OR(G47&gt;=0.2,G47&lt;=-0.2),"超过20%","")</f>
        <v/>
      </c>
      <c r="I47" s="448">
        <f>IF(I42&lt;E42,E42/I42-1,I42/E42-1)</f>
        <v>0.10526315789473695</v>
      </c>
      <c r="J47" s="449" t="str">
        <f>IF(OR(I47&gt;=0.2,I47&lt;=-0.2),"超过20%","")</f>
        <v/>
      </c>
      <c r="K47" s="2728"/>
      <c r="L47" s="889"/>
      <c r="M47" s="927"/>
      <c r="N47" s="927"/>
      <c r="O47" s="927"/>
    </row>
    <row r="48" spans="1:29" s="451" customFormat="1" ht="13.5" customHeight="1">
      <c r="A48" s="2726"/>
      <c r="B48" s="2726"/>
      <c r="C48" s="446" t="s">
        <v>1713</v>
      </c>
      <c r="D48" s="450"/>
      <c r="E48" s="448">
        <f>IF(E41&lt;G41,G41/E41-1,E41/G41-1)</f>
        <v>0.10000000000000009</v>
      </c>
      <c r="F48" s="449" t="str">
        <f>IF(OR(E48&gt;=0.3,E48&lt;=-0.3),"超过30%","")</f>
        <v/>
      </c>
      <c r="G48" s="448">
        <f>IF(G41&lt;I41,I41/G41-1,G41/I41-1)</f>
        <v>0</v>
      </c>
      <c r="H48" s="449" t="str">
        <f>IF(OR(G48&gt;=0.3,G48&lt;=-0.3),"超过30%","")</f>
        <v/>
      </c>
      <c r="I48" s="448">
        <f>IF(I41&lt;E41,E41/I41-1,I41/E41-1)</f>
        <v>0.10000000000000009</v>
      </c>
      <c r="J48" s="449" t="str">
        <f>IF(OR(I48&gt;=0.3,I48&lt;=-0.3),"超过30%","")</f>
        <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1714</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1718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t="str">
        <f>B12</f>
        <v>租赁方式</v>
      </c>
      <c r="C64" s="3604" t="s">
        <v>3822</v>
      </c>
      <c r="D64" s="3604" t="s">
        <v>3823</v>
      </c>
      <c r="E64" s="503"/>
      <c r="F64" s="503"/>
      <c r="G64" s="503"/>
      <c r="H64" s="504"/>
      <c r="I64" s="504"/>
      <c r="J64" s="504"/>
      <c r="K64" s="504"/>
      <c r="L64" s="505"/>
      <c r="M64" s="506"/>
      <c r="N64" s="935"/>
      <c r="O64" s="935"/>
      <c r="P64" s="507"/>
      <c r="Q64" s="508"/>
    </row>
    <row r="65" spans="1:17" s="422" customFormat="1" ht="15.75" thickBot="1">
      <c r="A65" s="502"/>
      <c r="B65" s="492"/>
      <c r="C65" s="509">
        <v>100</v>
      </c>
      <c r="D65" s="485">
        <v>105</v>
      </c>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95</v>
      </c>
      <c r="E71" s="493">
        <f>D71-$K15</f>
        <v>90</v>
      </c>
      <c r="F71" s="493">
        <f>E71-$K15</f>
        <v>85</v>
      </c>
      <c r="G71" s="493">
        <f>F71-$K15</f>
        <v>80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603" t="s">
        <v>3817</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29.25" thickTop="1">
      <c r="A90" s="483"/>
      <c r="B90" s="487" t="s">
        <v>1737</v>
      </c>
      <c r="C90" s="527" t="str">
        <f>C91&amp;"(含)"&amp;"-"&amp;D91</f>
        <v>0(含)-100</v>
      </c>
      <c r="D90" s="527" t="str">
        <f t="shared" ref="D90:L90" si="20">D91&amp;"(含)"&amp;"-"&amp;E91</f>
        <v>100(含)-2000</v>
      </c>
      <c r="E90" s="527" t="str">
        <f t="shared" si="20"/>
        <v>2000(含)-5000</v>
      </c>
      <c r="F90" s="527" t="str">
        <f t="shared" si="20"/>
        <v>5000(含)-8000</v>
      </c>
      <c r="G90" s="527" t="str">
        <f t="shared" si="20"/>
        <v>8000(含)-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2000</v>
      </c>
      <c r="F91" s="544">
        <v>5000</v>
      </c>
      <c r="G91" s="544">
        <v>8000</v>
      </c>
      <c r="H91" s="544"/>
      <c r="I91" s="544"/>
      <c r="J91" s="545"/>
      <c r="K91" s="545"/>
      <c r="L91" s="546"/>
      <c r="M91" s="547"/>
      <c r="N91" s="935"/>
      <c r="O91" s="935"/>
      <c r="P91" s="507"/>
      <c r="Q91" s="508"/>
    </row>
    <row r="92" spans="1:17" s="422" customFormat="1" ht="15.75" thickBot="1">
      <c r="A92" s="502"/>
      <c r="B92" s="492"/>
      <c r="C92" s="509">
        <v>100</v>
      </c>
      <c r="D92" s="485">
        <f>C92-1</f>
        <v>99</v>
      </c>
      <c r="E92" s="485">
        <f t="shared" ref="E92:G92" si="21">D92-1</f>
        <v>98</v>
      </c>
      <c r="F92" s="485">
        <f t="shared" si="21"/>
        <v>97</v>
      </c>
      <c r="G92" s="485">
        <f t="shared" si="21"/>
        <v>96</v>
      </c>
      <c r="H92" s="485"/>
      <c r="I92" s="485"/>
      <c r="J92" s="485"/>
      <c r="K92" s="485"/>
      <c r="L92" s="485"/>
      <c r="M92" s="486"/>
      <c r="N92" s="934"/>
      <c r="O92" s="934"/>
      <c r="P92" s="507"/>
      <c r="Q92" s="508"/>
    </row>
    <row r="93" spans="1:17" ht="15" thickTop="1">
      <c r="A93" s="548"/>
      <c r="B93" s="487" t="s">
        <v>1738</v>
      </c>
      <c r="C93" s="3604" t="s">
        <v>3818</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4"/>
      <c r="O103" s="934"/>
      <c r="P103" s="42"/>
      <c r="Q103" s="453"/>
    </row>
    <row r="104" spans="1:17" ht="15" thickTop="1">
      <c r="A104" s="548"/>
      <c r="B104" s="487" t="s">
        <v>1744</v>
      </c>
      <c r="C104" s="3604" t="s">
        <v>3820</v>
      </c>
      <c r="D104" s="3604" t="s">
        <v>3821</v>
      </c>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4"/>
      <c r="O107" s="934"/>
      <c r="P107" s="42"/>
      <c r="Q107" s="453"/>
    </row>
    <row r="108" spans="1:17" s="422" customFormat="1" ht="15" thickTop="1">
      <c r="A108" s="542"/>
      <c r="B108" s="487" t="str">
        <f>B38</f>
        <v>成新度</v>
      </c>
      <c r="C108" s="3604" t="s">
        <v>3852</v>
      </c>
      <c r="D108" s="3604"/>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35"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E1" xr:uid="{00000000-0002-0000-1A00-000000000000}">
      <formula1>"项目模式,单套模式"</formula1>
    </dataValidation>
    <dataValidation type="list" allowBlank="1" showInputMessage="1" showErrorMessage="1" sqref="D42" xr:uid="{00000000-0002-0000-1A00-000001000000}">
      <formula1>"简单平均,加权平均"</formula1>
    </dataValidation>
    <dataValidation type="list" allowBlank="1" showInputMessage="1" showErrorMessage="1" sqref="F2" xr:uid="{00000000-0002-0000-1A00-000002000000}">
      <formula1>估价方法</formula1>
    </dataValidation>
    <dataValidation type="list" allowBlank="1" showInputMessage="1" showErrorMessage="1" sqref="C2" xr:uid="{00000000-0002-0000-1A00-000003000000}">
      <formula1>"需扣减承租人权益,——"</formula1>
    </dataValidation>
    <dataValidation type="list" allowBlank="1" showInputMessage="1" showErrorMessage="1" sqref="F1" xr:uid="{00000000-0002-0000-1A00-000004000000}">
      <formula1>"售价,租金"</formula1>
    </dataValidation>
    <dataValidation type="list" allowBlank="1" showInputMessage="1" showErrorMessage="1" sqref="C22 E22 G22 I22" xr:uid="{00000000-0002-0000-1A00-000005000000}">
      <formula1>基础设施水平</formula1>
    </dataValidation>
    <dataValidation type="list" allowBlank="1" showInputMessage="1" showErrorMessage="1" sqref="C16 E16 G16 I16" xr:uid="{00000000-0002-0000-1A00-000006000000}">
      <formula1>产业集聚程度</formula1>
    </dataValidation>
    <dataValidation type="list" allowBlank="1" showInputMessage="1" showErrorMessage="1" sqref="C37 E37 G37 I37" xr:uid="{00000000-0002-0000-1A00-000007000000}">
      <formula1>内部装修维护情况</formula1>
    </dataValidation>
    <dataValidation type="list" allowBlank="1" showInputMessage="1" showErrorMessage="1" sqref="C36 E36 G36 I36" xr:uid="{00000000-0002-0000-1A00-000008000000}">
      <formula1>工业内部装修</formula1>
    </dataValidation>
    <dataValidation type="list" allowBlank="1" showInputMessage="1" showErrorMessage="1" sqref="C35 E35 G35 I35" xr:uid="{00000000-0002-0000-1A00-000009000000}">
      <formula1>工业基础设施水平</formula1>
    </dataValidation>
    <dataValidation type="list" allowBlank="1" showInputMessage="1" showErrorMessage="1" sqref="C34 E34 G34 I34" xr:uid="{00000000-0002-0000-1A00-00000A000000}">
      <formula1>工业物业管理</formula1>
    </dataValidation>
    <dataValidation type="list" allowBlank="1" showInputMessage="1" showErrorMessage="1" sqref="C32 E32 G32 I32" xr:uid="{00000000-0002-0000-1A00-00000B000000}">
      <formula1>工业公共部分装修</formula1>
    </dataValidation>
    <dataValidation type="list" allowBlank="1" showInputMessage="1" showErrorMessage="1" sqref="C31 E31 G31 I31" xr:uid="{00000000-0002-0000-1A00-00000C000000}">
      <formula1>工业建筑结构</formula1>
    </dataValidation>
    <dataValidation type="list" allowBlank="1" showInputMessage="1" showErrorMessage="1" sqref="C29 E29 G29 I29" xr:uid="{00000000-0002-0000-1A00-00000D000000}">
      <formula1>工业建筑类型</formula1>
    </dataValidation>
    <dataValidation type="list" allowBlank="1" showInputMessage="1" showErrorMessage="1" sqref="E9 G9 I9" xr:uid="{00000000-0002-0000-1A00-00000E000000}">
      <formula1>工业用途</formula1>
    </dataValidation>
    <dataValidation type="list" allowBlank="1" showInputMessage="1" showErrorMessage="1" sqref="C8 E8 G8 I8" xr:uid="{00000000-0002-0000-1A00-00000F000000}">
      <formula1>工业交易情况</formula1>
    </dataValidation>
    <dataValidation type="list" allowBlank="1" showInputMessage="1" showErrorMessage="1" sqref="E24 G24 I24 C24" xr:uid="{00000000-0002-0000-1A00-000010000000}">
      <formula1>环境</formula1>
    </dataValidation>
    <dataValidation type="list" allowBlank="1" showInputMessage="1" showErrorMessage="1" sqref="E18 G18 I18 C18" xr:uid="{00000000-0002-0000-1A00-000011000000}">
      <formula1>交通便捷度</formula1>
    </dataValidation>
    <dataValidation type="list" allowBlank="1" showInputMessage="1" showErrorMessage="1" sqref="C20 G20 E20 I20" xr:uid="{00000000-0002-0000-1A00-000012000000}">
      <formula1>公共配套设施</formula1>
    </dataValidation>
    <dataValidation type="list" allowBlank="1" showInputMessage="1" showErrorMessage="1" sqref="D1" xr:uid="{00000000-0002-0000-1A00-000013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C21" zoomScale="90" zoomScaleNormal="60" zoomScaleSheetLayoutView="90" workbookViewId="0">
      <selection activeCell="M39" sqref="M3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1" t="s">
        <v>3416</v>
      </c>
      <c r="F1" s="1879" t="s">
        <v>3417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8180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14592</v>
      </c>
      <c r="C3" s="354" t="s">
        <v>1768</v>
      </c>
      <c r="D3" s="353">
        <f>IF(D1="",'数据-汇总表'!E3,SUMIF('数据-汇总表'!$C19:$C33,D1,'数据-汇总表'!$E19:$E33))</f>
        <v>5605.5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63" t="s">
        <v>1770</v>
      </c>
      <c r="D4" s="3864"/>
      <c r="E4" s="3865" t="s">
        <v>1771</v>
      </c>
      <c r="F4" s="3866"/>
      <c r="G4" s="3863" t="s">
        <v>1772</v>
      </c>
      <c r="H4" s="3864"/>
      <c r="I4" s="3863" t="s">
        <v>1773</v>
      </c>
      <c r="J4" s="3864"/>
      <c r="K4" s="559" t="s">
        <v>1774</v>
      </c>
      <c r="L4" s="913"/>
      <c r="M4" s="914"/>
      <c r="N4" s="914"/>
      <c r="O4" s="914"/>
      <c r="P4" s="3867" t="s">
        <v>1775</v>
      </c>
      <c r="Q4" s="3868"/>
      <c r="R4" s="3850" t="s">
        <v>1771</v>
      </c>
      <c r="S4" s="3851"/>
      <c r="T4" s="3850" t="s">
        <v>1772</v>
      </c>
      <c r="U4" s="3851"/>
      <c r="V4" s="3875" t="s">
        <v>1773</v>
      </c>
      <c r="W4" s="3875"/>
      <c r="X4" s="1355"/>
      <c r="Y4" s="3850" t="s">
        <v>1775</v>
      </c>
      <c r="Z4" s="3851"/>
      <c r="AA4" s="3845" t="s">
        <v>1771</v>
      </c>
      <c r="AB4" s="3846" t="s">
        <v>1772</v>
      </c>
      <c r="AC4" s="3845" t="s">
        <v>1773</v>
      </c>
    </row>
    <row r="5" spans="1:29" ht="15">
      <c r="A5" s="358"/>
      <c r="B5" s="359"/>
      <c r="C5" s="3856" t="s">
        <v>1673</v>
      </c>
      <c r="D5" s="3857"/>
      <c r="E5" s="3854" t="str">
        <f>售价案例!M2</f>
        <v>北京经开企业大道</v>
      </c>
      <c r="F5" s="3855"/>
      <c r="G5" s="3909" t="str">
        <f>售价案例!$M$3</f>
        <v>北京经开壹中心</v>
      </c>
      <c r="H5" s="3910"/>
      <c r="I5" s="3856" t="str">
        <f>售价案例!M5</f>
        <v>枢密院·尖子班</v>
      </c>
      <c r="J5" s="3857"/>
      <c r="K5" s="559"/>
      <c r="L5" s="913"/>
      <c r="M5" s="914"/>
      <c r="N5" s="914"/>
      <c r="O5" s="914"/>
      <c r="P5" s="3869"/>
      <c r="Q5" s="3870"/>
      <c r="R5" s="3852"/>
      <c r="S5" s="3853"/>
      <c r="T5" s="3852"/>
      <c r="U5" s="3853"/>
      <c r="V5" s="3875"/>
      <c r="W5" s="3875"/>
      <c r="X5" s="1355"/>
      <c r="Y5" s="3852"/>
      <c r="Z5" s="3853"/>
      <c r="AA5" s="3846"/>
      <c r="AB5" s="3846"/>
      <c r="AC5" s="3846"/>
    </row>
    <row r="6" spans="1:29" ht="15.75" thickBot="1">
      <c r="A6" s="360"/>
      <c r="B6" s="361"/>
      <c r="C6" s="3858" t="s">
        <v>1677</v>
      </c>
      <c r="D6" s="3859"/>
      <c r="E6" s="3860" t="s">
        <v>1677</v>
      </c>
      <c r="F6" s="3861"/>
      <c r="G6" s="3858" t="s">
        <v>1677</v>
      </c>
      <c r="H6" s="3859"/>
      <c r="I6" s="3858" t="s">
        <v>1677</v>
      </c>
      <c r="J6" s="3859"/>
      <c r="K6" s="559" t="s">
        <v>1678</v>
      </c>
      <c r="L6" s="913"/>
      <c r="M6" s="914"/>
      <c r="N6" s="914"/>
      <c r="O6" s="914"/>
      <c r="P6" s="3871"/>
      <c r="Q6" s="3872"/>
      <c r="R6" s="3852"/>
      <c r="S6" s="3853"/>
      <c r="T6" s="3873"/>
      <c r="U6" s="3874"/>
      <c r="V6" s="3875"/>
      <c r="W6" s="3875"/>
      <c r="X6" s="1355"/>
      <c r="Y6" s="3873"/>
      <c r="Z6" s="3874"/>
      <c r="AA6" s="3847"/>
      <c r="AB6" s="3847"/>
      <c r="AC6" s="3847"/>
    </row>
    <row r="7" spans="1:29" s="108" customFormat="1" ht="15.75" thickBot="1">
      <c r="A7" s="362" t="s">
        <v>1679</v>
      </c>
      <c r="B7" s="363"/>
      <c r="C7" s="364">
        <f>'数据-取费表'!B2</f>
        <v>45056</v>
      </c>
      <c r="D7" s="365">
        <v>100</v>
      </c>
      <c r="E7" s="366">
        <f>售价案例!$P$2</f>
        <v>44682</v>
      </c>
      <c r="F7" s="367">
        <f>SUMIF(52:52,YEAR(E7)&amp;"-"&amp;MONTH(E7),53:53)</f>
        <v>99</v>
      </c>
      <c r="G7" s="366">
        <f>售价案例!P3</f>
        <v>44986</v>
      </c>
      <c r="H7" s="365">
        <f>SUMIF(52:52,YEAR(G7)&amp;"-"&amp;MONTH(G7),53:53)</f>
        <v>100</v>
      </c>
      <c r="I7" s="366">
        <f>售价案例!P5</f>
        <v>44805</v>
      </c>
      <c r="J7" s="365">
        <f>SUMIF(52:52,YEAR(I7)&amp;"-"&amp;MONTH(I7),53:53)</f>
        <v>99.5</v>
      </c>
      <c r="K7" s="560"/>
      <c r="L7" s="915"/>
      <c r="M7" s="916"/>
      <c r="N7" s="916"/>
      <c r="O7" s="916"/>
      <c r="P7" s="3848" t="s">
        <v>1680</v>
      </c>
      <c r="Q7" s="3876"/>
      <c r="R7" s="701" t="s">
        <v>14</v>
      </c>
      <c r="S7" s="702">
        <f t="shared" ref="S7:S15" si="0">F7</f>
        <v>99</v>
      </c>
      <c r="T7" s="701" t="s">
        <v>14</v>
      </c>
      <c r="U7" s="702">
        <f t="shared" ref="U7:U15" si="1">H7</f>
        <v>100</v>
      </c>
      <c r="V7" s="701" t="s">
        <v>14</v>
      </c>
      <c r="W7" s="702">
        <f t="shared" ref="W7:W15" si="2">J7</f>
        <v>99.5</v>
      </c>
      <c r="X7" s="703"/>
      <c r="Y7" s="3848" t="s">
        <v>1680</v>
      </c>
      <c r="Z7" s="3849"/>
      <c r="AA7" s="704">
        <f>D7/F7</f>
        <v>1.0101010101010102</v>
      </c>
      <c r="AB7" s="704">
        <f>D7/H7</f>
        <v>1</v>
      </c>
      <c r="AC7" s="704">
        <f>D7/J7</f>
        <v>1.0050251256281406</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8" t="s">
        <v>1683</v>
      </c>
      <c r="Q8" s="3849"/>
      <c r="R8" s="701" t="s">
        <v>14</v>
      </c>
      <c r="S8" s="702">
        <f t="shared" si="0"/>
        <v>100</v>
      </c>
      <c r="T8" s="701" t="s">
        <v>14</v>
      </c>
      <c r="U8" s="702">
        <f t="shared" si="1"/>
        <v>100</v>
      </c>
      <c r="V8" s="701" t="s">
        <v>14</v>
      </c>
      <c r="W8" s="702">
        <f t="shared" si="2"/>
        <v>100</v>
      </c>
      <c r="X8" s="703"/>
      <c r="Y8" s="3848" t="s">
        <v>1683</v>
      </c>
      <c r="Z8" s="384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80" t="s">
        <v>1686</v>
      </c>
      <c r="Q9" s="1343" t="str">
        <f t="shared" ref="Q9:Q15" si="6">B9</f>
        <v>用途</v>
      </c>
      <c r="R9" s="701" t="s">
        <v>14</v>
      </c>
      <c r="S9" s="702">
        <f t="shared" si="0"/>
        <v>100</v>
      </c>
      <c r="T9" s="701" t="s">
        <v>14</v>
      </c>
      <c r="U9" s="702">
        <f t="shared" si="1"/>
        <v>100</v>
      </c>
      <c r="V9" s="701" t="s">
        <v>14</v>
      </c>
      <c r="W9" s="702">
        <f t="shared" si="2"/>
        <v>100</v>
      </c>
      <c r="X9" s="703"/>
      <c r="Y9" s="379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80"/>
      <c r="Q10" s="1343" t="str">
        <f t="shared" si="6"/>
        <v>土地使用年限（年）</v>
      </c>
      <c r="R10" s="701" t="s">
        <v>14</v>
      </c>
      <c r="S10" s="702">
        <f t="shared" si="0"/>
        <v>100</v>
      </c>
      <c r="T10" s="701" t="s">
        <v>14</v>
      </c>
      <c r="U10" s="702">
        <f t="shared" si="1"/>
        <v>100</v>
      </c>
      <c r="V10" s="701" t="s">
        <v>14</v>
      </c>
      <c r="W10" s="702">
        <f t="shared" si="2"/>
        <v>100</v>
      </c>
      <c r="X10" s="703"/>
      <c r="Y10" s="379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80"/>
      <c r="Q11" s="1343" t="str">
        <f t="shared" si="6"/>
        <v>容积率</v>
      </c>
      <c r="R11" s="701" t="s">
        <v>14</v>
      </c>
      <c r="S11" s="702">
        <f t="shared" si="0"/>
        <v>100</v>
      </c>
      <c r="T11" s="701" t="s">
        <v>14</v>
      </c>
      <c r="U11" s="702">
        <f t="shared" si="1"/>
        <v>100</v>
      </c>
      <c r="V11" s="701" t="s">
        <v>14</v>
      </c>
      <c r="W11" s="702">
        <f t="shared" si="2"/>
        <v>100</v>
      </c>
      <c r="X11" s="703"/>
      <c r="Y11" s="3795"/>
      <c r="Z11" s="52" t="str">
        <f t="shared" si="7"/>
        <v>容积率</v>
      </c>
      <c r="AA11" s="704">
        <f t="shared" si="3"/>
        <v>1</v>
      </c>
      <c r="AB11" s="704">
        <f t="shared" si="4"/>
        <v>1</v>
      </c>
      <c r="AC11" s="704">
        <f t="shared" si="5"/>
        <v>1</v>
      </c>
    </row>
    <row r="12" spans="1:29" s="108" customFormat="1" ht="15">
      <c r="A12" s="382"/>
      <c r="B12" s="1893"/>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80"/>
      <c r="Q12" s="1343">
        <f t="shared" si="6"/>
        <v>0</v>
      </c>
      <c r="R12" s="701" t="s">
        <v>14</v>
      </c>
      <c r="S12" s="702">
        <f t="shared" si="0"/>
        <v>100</v>
      </c>
      <c r="T12" s="701" t="s">
        <v>14</v>
      </c>
      <c r="U12" s="702">
        <f t="shared" si="1"/>
        <v>100</v>
      </c>
      <c r="V12" s="701" t="s">
        <v>14</v>
      </c>
      <c r="W12" s="702">
        <f t="shared" si="2"/>
        <v>100</v>
      </c>
      <c r="X12" s="703"/>
      <c r="Y12" s="3795"/>
      <c r="Z12" s="52">
        <f t="shared" si="7"/>
        <v>0</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80"/>
      <c r="Q13" s="1343">
        <f t="shared" si="6"/>
        <v>111</v>
      </c>
      <c r="R13" s="701" t="s">
        <v>14</v>
      </c>
      <c r="S13" s="702">
        <f t="shared" si="0"/>
        <v>100</v>
      </c>
      <c r="T13" s="701" t="s">
        <v>14</v>
      </c>
      <c r="U13" s="702">
        <f t="shared" si="1"/>
        <v>100</v>
      </c>
      <c r="V13" s="701" t="s">
        <v>14</v>
      </c>
      <c r="W13" s="702">
        <f t="shared" si="2"/>
        <v>100</v>
      </c>
      <c r="X13" s="703"/>
      <c r="Y13" s="379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80"/>
      <c r="Q14" s="1343">
        <f t="shared" si="6"/>
        <v>111</v>
      </c>
      <c r="R14" s="701" t="s">
        <v>14</v>
      </c>
      <c r="S14" s="702">
        <f t="shared" si="0"/>
        <v>100</v>
      </c>
      <c r="T14" s="701" t="s">
        <v>14</v>
      </c>
      <c r="U14" s="702">
        <f t="shared" si="1"/>
        <v>100</v>
      </c>
      <c r="V14" s="701" t="s">
        <v>14</v>
      </c>
      <c r="W14" s="702">
        <f t="shared" si="2"/>
        <v>100</v>
      </c>
      <c r="X14" s="703"/>
      <c r="Y14" s="3795"/>
      <c r="Z14" s="52">
        <f t="shared" si="7"/>
        <v>111</v>
      </c>
      <c r="AA14" s="704">
        <f t="shared" si="3"/>
        <v>1</v>
      </c>
      <c r="AB14" s="704">
        <f t="shared" si="4"/>
        <v>1</v>
      </c>
      <c r="AC14" s="704">
        <f t="shared" si="5"/>
        <v>1</v>
      </c>
    </row>
    <row r="15" spans="1:29" ht="128.25">
      <c r="A15" s="391" t="s">
        <v>1690</v>
      </c>
      <c r="B15" s="61" t="s">
        <v>1827</v>
      </c>
      <c r="C15" s="1971" t="str">
        <f>估价对象房地状况!G3</f>
        <v>估价对象位于亦庄开发区，周边有瑞森国际大厦、易城时代广场、嘉捷BOX企业汇、亦庄生物医药园，园区建设成熟度较好，产业集聚程度较好</v>
      </c>
      <c r="D15" s="392">
        <v>100</v>
      </c>
      <c r="E15" s="3611" t="s">
        <v>3864</v>
      </c>
      <c r="F15" s="394">
        <f>SUMIF(70:70,E16,71:71)-SUMIF(70:70,C16,71:71)+100</f>
        <v>100</v>
      </c>
      <c r="G15" s="3611" t="s">
        <v>3849</v>
      </c>
      <c r="H15" s="392">
        <f>SUMIF(70:70,G16,71:71)-SUMIF(70:70,C16,71:71)+100</f>
        <v>100</v>
      </c>
      <c r="I15" s="3611" t="s">
        <v>3859</v>
      </c>
      <c r="J15" s="392">
        <f>SUMIF(70:70,I16,71:71)-SUMIF(70:70,C16,71:71)+100</f>
        <v>100</v>
      </c>
      <c r="K15" s="563">
        <v>2</v>
      </c>
      <c r="L15" s="923"/>
      <c r="M15" s="914"/>
      <c r="N15" s="914"/>
      <c r="O15" s="922"/>
      <c r="P15" s="3882" t="s">
        <v>1691</v>
      </c>
      <c r="Q15" s="1352" t="str">
        <f t="shared" si="6"/>
        <v>产业集聚程度</v>
      </c>
      <c r="R15" s="705" t="s">
        <v>14</v>
      </c>
      <c r="S15" s="706">
        <f t="shared" si="0"/>
        <v>100</v>
      </c>
      <c r="T15" s="705" t="s">
        <v>14</v>
      </c>
      <c r="U15" s="706">
        <f t="shared" si="1"/>
        <v>100</v>
      </c>
      <c r="V15" s="705" t="s">
        <v>14</v>
      </c>
      <c r="W15" s="706">
        <f t="shared" si="2"/>
        <v>100</v>
      </c>
      <c r="X15" s="1355"/>
      <c r="Y15" s="3882" t="s">
        <v>1691</v>
      </c>
      <c r="Z15" s="1356" t="str">
        <f t="shared" si="7"/>
        <v>产业集聚程度</v>
      </c>
      <c r="AA15" s="1353">
        <f t="shared" si="3"/>
        <v>1</v>
      </c>
      <c r="AB15" s="1353">
        <f t="shared" si="4"/>
        <v>1</v>
      </c>
      <c r="AC15" s="1353">
        <f t="shared" si="5"/>
        <v>1</v>
      </c>
    </row>
    <row r="16" spans="1:29" ht="15">
      <c r="A16" s="379"/>
      <c r="B16" s="397"/>
      <c r="C16" s="398" t="s">
        <v>3413</v>
      </c>
      <c r="D16" s="399"/>
      <c r="E16" s="398" t="s">
        <v>3413</v>
      </c>
      <c r="F16" s="400"/>
      <c r="G16" s="398" t="s">
        <v>3413</v>
      </c>
      <c r="H16" s="401"/>
      <c r="I16" s="398" t="s">
        <v>3413</v>
      </c>
      <c r="J16" s="399"/>
      <c r="K16" s="564"/>
      <c r="L16" s="923"/>
      <c r="M16" s="914"/>
      <c r="N16" s="914"/>
      <c r="O16" s="922"/>
      <c r="P16" s="3883"/>
      <c r="Q16" s="1352"/>
      <c r="R16" s="705"/>
      <c r="S16" s="706"/>
      <c r="T16" s="705"/>
      <c r="U16" s="706"/>
      <c r="V16" s="705"/>
      <c r="W16" s="706"/>
      <c r="X16" s="1355"/>
      <c r="Y16" s="3883"/>
      <c r="Z16" s="1356"/>
      <c r="AA16" s="1353">
        <v>1</v>
      </c>
      <c r="AB16" s="1353">
        <v>1</v>
      </c>
      <c r="AC16" s="1353">
        <v>1</v>
      </c>
    </row>
    <row r="17" spans="1:29" ht="43.5" customHeight="1">
      <c r="A17" s="379"/>
      <c r="B17" s="402" t="s">
        <v>1259</v>
      </c>
      <c r="C17" s="1900" t="str">
        <f>估价对象房地状况!G4</f>
        <v>估价对象距离亦庄T1线定海园西站约1.5公里，距离京沪高速约1.2公里；周边有兴58路、兴78路、专185路等公交线路途径并设立站点，综合评价交通便捷度较好。</v>
      </c>
      <c r="D17" s="401">
        <v>100</v>
      </c>
      <c r="E17" s="3612" t="s">
        <v>3863</v>
      </c>
      <c r="F17" s="404">
        <f>SUMIF(72:72,E18,73:73)-SUMIF(72:72,C18,73:73)+100</f>
        <v>100</v>
      </c>
      <c r="G17" s="3612" t="s">
        <v>3834</v>
      </c>
      <c r="H17" s="406">
        <f>SUMIF(72:72,G18,73:73)-SUMIF(72:72,C18,73:73)+100</f>
        <v>100</v>
      </c>
      <c r="I17" s="3612" t="s">
        <v>3837</v>
      </c>
      <c r="J17" s="406">
        <f>SUMIF(72:72,I18,73:73)-SUMIF(72:72,C18,73:73)+100</f>
        <v>100</v>
      </c>
      <c r="K17" s="563">
        <v>2</v>
      </c>
      <c r="L17" s="923"/>
      <c r="M17" s="914"/>
      <c r="N17" s="914"/>
      <c r="O17" s="922"/>
      <c r="P17" s="3883"/>
      <c r="Q17" s="1352" t="str">
        <f>B17</f>
        <v>交通便捷度</v>
      </c>
      <c r="R17" s="705" t="s">
        <v>14</v>
      </c>
      <c r="S17" s="706">
        <f>F17</f>
        <v>100</v>
      </c>
      <c r="T17" s="705" t="s">
        <v>14</v>
      </c>
      <c r="U17" s="706">
        <f>H17</f>
        <v>100</v>
      </c>
      <c r="V17" s="705" t="s">
        <v>14</v>
      </c>
      <c r="W17" s="706">
        <f>J17</f>
        <v>100</v>
      </c>
      <c r="X17" s="1355"/>
      <c r="Y17" s="3883"/>
      <c r="Z17" s="1356" t="str">
        <f>Q17</f>
        <v>交通便捷度</v>
      </c>
      <c r="AA17" s="1353">
        <f t="shared" si="3"/>
        <v>1</v>
      </c>
      <c r="AB17" s="1353">
        <f t="shared" si="4"/>
        <v>1</v>
      </c>
      <c r="AC17" s="1353">
        <f t="shared" si="5"/>
        <v>1</v>
      </c>
    </row>
    <row r="18" spans="1:29" ht="15">
      <c r="A18" s="379"/>
      <c r="B18" s="407"/>
      <c r="C18" s="1901" t="s">
        <v>3413</v>
      </c>
      <c r="D18" s="401"/>
      <c r="E18" s="1903" t="s">
        <v>3413</v>
      </c>
      <c r="F18" s="404"/>
      <c r="G18" s="1902" t="s">
        <v>3413</v>
      </c>
      <c r="H18" s="399"/>
      <c r="I18" s="3623" t="s">
        <v>3413</v>
      </c>
      <c r="J18" s="399"/>
      <c r="K18" s="564"/>
      <c r="L18" s="923"/>
      <c r="M18" s="914"/>
      <c r="N18" s="914"/>
      <c r="O18" s="922"/>
      <c r="P18" s="3883"/>
      <c r="Q18" s="1352"/>
      <c r="R18" s="705"/>
      <c r="S18" s="706"/>
      <c r="T18" s="705"/>
      <c r="U18" s="706"/>
      <c r="V18" s="705"/>
      <c r="W18" s="706"/>
      <c r="X18" s="1355"/>
      <c r="Y18" s="3883"/>
      <c r="Z18" s="1356"/>
      <c r="AA18" s="1353">
        <v>1</v>
      </c>
      <c r="AB18" s="1353">
        <v>1</v>
      </c>
      <c r="AC18" s="1353">
        <v>1</v>
      </c>
    </row>
    <row r="19" spans="1:29" ht="61.5" customHeight="1">
      <c r="A19" s="379"/>
      <c r="B19" s="402" t="s">
        <v>1812</v>
      </c>
      <c r="C19" s="1900" t="str">
        <f>估价对象房地状况!G5</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c r="D19" s="406">
        <v>100</v>
      </c>
      <c r="E19" s="3613" t="s">
        <v>3860</v>
      </c>
      <c r="F19" s="409">
        <f>SUMIF(74:74,E20,75:75)-SUMIF(74:74,C20,75:75)+100</f>
        <v>100</v>
      </c>
      <c r="G19" s="3613" t="s">
        <v>3836</v>
      </c>
      <c r="H19" s="401">
        <f>SUMIF(74:74,G20,75:75)-SUMIF(74:74,C20,75:75)+100</f>
        <v>100</v>
      </c>
      <c r="I19" s="3614" t="s">
        <v>3835</v>
      </c>
      <c r="J19" s="401">
        <f>SUMIF(74:74,I20,75:75)-SUMIF(74:74,C20,75:75)+100</f>
        <v>100</v>
      </c>
      <c r="K19" s="563">
        <v>2</v>
      </c>
      <c r="L19" s="923"/>
      <c r="M19" s="914"/>
      <c r="N19" s="914"/>
      <c r="O19" s="922"/>
      <c r="P19" s="3883"/>
      <c r="Q19" s="1352" t="str">
        <f>B19</f>
        <v>公共配套设施</v>
      </c>
      <c r="R19" s="705" t="s">
        <v>14</v>
      </c>
      <c r="S19" s="706">
        <f>F19</f>
        <v>100</v>
      </c>
      <c r="T19" s="705" t="s">
        <v>14</v>
      </c>
      <c r="U19" s="706">
        <f>H19</f>
        <v>100</v>
      </c>
      <c r="V19" s="705" t="s">
        <v>14</v>
      </c>
      <c r="W19" s="706">
        <f>J19</f>
        <v>100</v>
      </c>
      <c r="X19" s="1355"/>
      <c r="Y19" s="3883"/>
      <c r="Z19" s="1356" t="str">
        <f>Q19</f>
        <v>公共配套设施</v>
      </c>
      <c r="AA19" s="1353">
        <f t="shared" si="3"/>
        <v>1</v>
      </c>
      <c r="AB19" s="1353">
        <f t="shared" si="4"/>
        <v>1</v>
      </c>
      <c r="AC19" s="1353">
        <f t="shared" si="5"/>
        <v>1</v>
      </c>
    </row>
    <row r="20" spans="1:29" ht="15">
      <c r="A20" s="379"/>
      <c r="B20" s="407"/>
      <c r="C20" s="398" t="s">
        <v>3414</v>
      </c>
      <c r="D20" s="399"/>
      <c r="E20" s="398" t="s">
        <v>3414</v>
      </c>
      <c r="F20" s="400"/>
      <c r="G20" s="398" t="s">
        <v>3414</v>
      </c>
      <c r="H20" s="399"/>
      <c r="I20" s="398" t="s">
        <v>3414</v>
      </c>
      <c r="J20" s="399"/>
      <c r="K20" s="564"/>
      <c r="L20" s="923"/>
      <c r="M20" s="914"/>
      <c r="N20" s="914"/>
      <c r="O20" s="922"/>
      <c r="P20" s="3883"/>
      <c r="Q20" s="1352"/>
      <c r="R20" s="705"/>
      <c r="S20" s="706"/>
      <c r="T20" s="705"/>
      <c r="U20" s="706"/>
      <c r="V20" s="705"/>
      <c r="W20" s="706"/>
      <c r="X20" s="1355"/>
      <c r="Y20" s="3883"/>
      <c r="Z20" s="1356"/>
      <c r="AA20" s="1353">
        <v>1</v>
      </c>
      <c r="AB20" s="1353">
        <v>1</v>
      </c>
      <c r="AC20" s="1353">
        <v>1</v>
      </c>
    </row>
    <row r="21" spans="1:29" ht="42.75">
      <c r="A21" s="379"/>
      <c r="B21" s="1131" t="s">
        <v>1813</v>
      </c>
      <c r="C21" s="1900" t="str">
        <f>估价对象房地状况!G6</f>
        <v>估价对象所在区域基础设施水平-五通</v>
      </c>
      <c r="D21" s="401">
        <v>100</v>
      </c>
      <c r="E21" s="408"/>
      <c r="F21" s="409">
        <f>SUMIF(76:76,E22,77:77)-SUMIF(76:76,C22,77:77)+100</f>
        <v>100</v>
      </c>
      <c r="G21" s="410"/>
      <c r="H21" s="401">
        <f>SUMIF(76:76,G22,77:77)-SUMIF(76:76,C22,77:77)+100</f>
        <v>100</v>
      </c>
      <c r="I21" s="408"/>
      <c r="J21" s="401">
        <f>SUMIF(76:76,I22,77:77)-SUMIF(76:76,C22,77:77)+100</f>
        <v>100</v>
      </c>
      <c r="K21" s="563">
        <v>2</v>
      </c>
      <c r="L21" s="923"/>
      <c r="M21" s="914"/>
      <c r="N21" s="914"/>
      <c r="O21" s="922"/>
      <c r="P21" s="3883"/>
      <c r="Q21" s="1352" t="str">
        <f>B21</f>
        <v>基础设施水平</v>
      </c>
      <c r="R21" s="705" t="s">
        <v>14</v>
      </c>
      <c r="S21" s="706">
        <f>F21</f>
        <v>100</v>
      </c>
      <c r="T21" s="705" t="s">
        <v>14</v>
      </c>
      <c r="U21" s="706">
        <f>H21</f>
        <v>100</v>
      </c>
      <c r="V21" s="705" t="s">
        <v>14</v>
      </c>
      <c r="W21" s="706">
        <f>J21</f>
        <v>100</v>
      </c>
      <c r="X21" s="1355"/>
      <c r="Y21" s="3883"/>
      <c r="Z21" s="1356" t="str">
        <f>Q21</f>
        <v>基础设施水平</v>
      </c>
      <c r="AA21" s="1353">
        <f t="shared" ref="AA21" si="8">D21/F21</f>
        <v>1</v>
      </c>
      <c r="AB21" s="1353">
        <f t="shared" ref="AB21" si="9">D21/H21</f>
        <v>1</v>
      </c>
      <c r="AC21" s="1353">
        <f t="shared" ref="AC21" si="10">D21/J21</f>
        <v>1</v>
      </c>
    </row>
    <row r="22" spans="1:29" ht="15">
      <c r="A22" s="379"/>
      <c r="B22" s="1131"/>
      <c r="C22" s="1901" t="s">
        <v>3857</v>
      </c>
      <c r="D22" s="399"/>
      <c r="E22" s="1901" t="s">
        <v>3857</v>
      </c>
      <c r="F22" s="400"/>
      <c r="G22" s="1901" t="s">
        <v>3857</v>
      </c>
      <c r="H22" s="399"/>
      <c r="I22" s="1901" t="s">
        <v>3857</v>
      </c>
      <c r="J22" s="399"/>
      <c r="K22" s="1130"/>
      <c r="L22" s="923"/>
      <c r="M22" s="914"/>
      <c r="N22" s="914"/>
      <c r="O22" s="922"/>
      <c r="P22" s="3883"/>
      <c r="Q22" s="1352"/>
      <c r="R22" s="705"/>
      <c r="S22" s="706"/>
      <c r="T22" s="705"/>
      <c r="U22" s="706"/>
      <c r="V22" s="705"/>
      <c r="W22" s="706"/>
      <c r="X22" s="1355"/>
      <c r="Y22" s="3883"/>
      <c r="Z22" s="1356"/>
      <c r="AA22" s="1353">
        <v>1</v>
      </c>
      <c r="AB22" s="1353">
        <v>1</v>
      </c>
      <c r="AC22" s="1353">
        <v>1</v>
      </c>
    </row>
    <row r="23" spans="1:29" ht="45" customHeight="1">
      <c r="A23" s="379"/>
      <c r="B23" s="402" t="s">
        <v>1814</v>
      </c>
      <c r="C23" s="1900" t="str">
        <f>估价对象房地状况!G7</f>
        <v>该园区内无污染型企业，绿化情况一般，卫生条件一般，整体环境状况一般</v>
      </c>
      <c r="D23" s="401">
        <v>100</v>
      </c>
      <c r="E23" s="3613" t="s">
        <v>3862</v>
      </c>
      <c r="F23" s="404">
        <f>SUMIF(78:78,E24,79:79)-SUMIF(78:78,C24,79:79)+100</f>
        <v>100</v>
      </c>
      <c r="G23" s="3613" t="s">
        <v>3862</v>
      </c>
      <c r="H23" s="401">
        <f>SUMIF(78:78,G24,79:79)-SUMIF(78:78,C24,79:79)+100</f>
        <v>100</v>
      </c>
      <c r="I23" s="3613" t="s">
        <v>3838</v>
      </c>
      <c r="J23" s="401">
        <f>SUMIF(78:78,I24,79:79)-SUMIF(78:78,C24,79:79)+100</f>
        <v>100</v>
      </c>
      <c r="K23" s="563">
        <v>2</v>
      </c>
      <c r="L23" s="923"/>
      <c r="M23" s="914"/>
      <c r="N23" s="914"/>
      <c r="O23" s="922"/>
      <c r="P23" s="3883"/>
      <c r="Q23" s="1352" t="str">
        <f>B23</f>
        <v>环境质量</v>
      </c>
      <c r="R23" s="705" t="s">
        <v>14</v>
      </c>
      <c r="S23" s="706">
        <f>F23</f>
        <v>100</v>
      </c>
      <c r="T23" s="705" t="s">
        <v>14</v>
      </c>
      <c r="U23" s="706">
        <f>H23</f>
        <v>100</v>
      </c>
      <c r="V23" s="705" t="s">
        <v>14</v>
      </c>
      <c r="W23" s="706">
        <f>J23</f>
        <v>100</v>
      </c>
      <c r="X23" s="1355"/>
      <c r="Y23" s="3883"/>
      <c r="Z23" s="1356" t="str">
        <f>Q23</f>
        <v>环境质量</v>
      </c>
      <c r="AA23" s="1353">
        <f t="shared" si="3"/>
        <v>1</v>
      </c>
      <c r="AB23" s="1353">
        <f t="shared" si="4"/>
        <v>1</v>
      </c>
      <c r="AC23" s="1353">
        <f t="shared" si="5"/>
        <v>1</v>
      </c>
    </row>
    <row r="24" spans="1:29" ht="15">
      <c r="A24" s="379"/>
      <c r="B24" s="1131"/>
      <c r="C24" s="398" t="s">
        <v>3414</v>
      </c>
      <c r="D24" s="399"/>
      <c r="E24" s="3624" t="s">
        <v>3414</v>
      </c>
      <c r="F24" s="400"/>
      <c r="G24" s="3624" t="s">
        <v>3414</v>
      </c>
      <c r="H24" s="399"/>
      <c r="I24" s="398" t="s">
        <v>3414</v>
      </c>
      <c r="J24" s="399"/>
      <c r="K24" s="564"/>
      <c r="L24" s="923"/>
      <c r="M24" s="914"/>
      <c r="N24" s="914"/>
      <c r="O24" s="922"/>
      <c r="P24" s="3883"/>
      <c r="Q24" s="1352"/>
      <c r="R24" s="705"/>
      <c r="S24" s="706"/>
      <c r="T24" s="705"/>
      <c r="U24" s="706"/>
      <c r="V24" s="705"/>
      <c r="W24" s="706"/>
      <c r="X24" s="1355"/>
      <c r="Y24" s="388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83"/>
      <c r="Q25" s="1352">
        <f>B25</f>
        <v>111</v>
      </c>
      <c r="R25" s="705" t="s">
        <v>14</v>
      </c>
      <c r="S25" s="706">
        <f>F25</f>
        <v>100</v>
      </c>
      <c r="T25" s="705" t="s">
        <v>14</v>
      </c>
      <c r="U25" s="706">
        <f>H25</f>
        <v>100</v>
      </c>
      <c r="V25" s="705" t="s">
        <v>14</v>
      </c>
      <c r="W25" s="706">
        <f>J25</f>
        <v>100</v>
      </c>
      <c r="X25" s="1355"/>
      <c r="Y25" s="388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83"/>
      <c r="Q26" s="1352">
        <f t="shared" ref="Q26:Q40" si="11">B26</f>
        <v>111</v>
      </c>
      <c r="R26" s="705" t="s">
        <v>14</v>
      </c>
      <c r="S26" s="706">
        <f>F26</f>
        <v>100</v>
      </c>
      <c r="T26" s="705" t="s">
        <v>14</v>
      </c>
      <c r="U26" s="706">
        <f>H26</f>
        <v>100</v>
      </c>
      <c r="V26" s="705" t="s">
        <v>14</v>
      </c>
      <c r="W26" s="706">
        <f>J26</f>
        <v>100</v>
      </c>
      <c r="X26" s="1355"/>
      <c r="Y26" s="388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83"/>
      <c r="Q27" s="1343">
        <f t="shared" si="11"/>
        <v>111</v>
      </c>
      <c r="R27" s="701" t="s">
        <v>14</v>
      </c>
      <c r="S27" s="702">
        <f>F27</f>
        <v>100</v>
      </c>
      <c r="T27" s="701" t="s">
        <v>14</v>
      </c>
      <c r="U27" s="702">
        <f>H27</f>
        <v>100</v>
      </c>
      <c r="V27" s="701" t="s">
        <v>14</v>
      </c>
      <c r="W27" s="702">
        <f>J27</f>
        <v>100</v>
      </c>
      <c r="X27" s="703"/>
      <c r="Y27" s="388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83"/>
      <c r="Q28" s="1352">
        <f t="shared" si="11"/>
        <v>111</v>
      </c>
      <c r="R28" s="705" t="s">
        <v>14</v>
      </c>
      <c r="S28" s="706">
        <f t="shared" ref="S28:S40" si="12">F28</f>
        <v>100</v>
      </c>
      <c r="T28" s="705" t="s">
        <v>14</v>
      </c>
      <c r="U28" s="706">
        <f t="shared" ref="U28:U40" si="13">H28</f>
        <v>100</v>
      </c>
      <c r="V28" s="705" t="s">
        <v>14</v>
      </c>
      <c r="W28" s="706">
        <f t="shared" ref="W28:W40" si="14">J28</f>
        <v>100</v>
      </c>
      <c r="X28" s="1355"/>
      <c r="Y28" s="3883"/>
      <c r="Z28" s="1356">
        <f t="shared" ref="Z28:Z40" si="15">Q28</f>
        <v>111</v>
      </c>
      <c r="AA28" s="1353">
        <f t="shared" si="3"/>
        <v>1</v>
      </c>
      <c r="AB28" s="1353">
        <f t="shared" si="4"/>
        <v>1</v>
      </c>
      <c r="AC28" s="1353">
        <f t="shared" si="5"/>
        <v>1</v>
      </c>
    </row>
    <row r="29" spans="1:29" ht="28.5">
      <c r="A29" s="417" t="s">
        <v>1694</v>
      </c>
      <c r="B29" s="63" t="s">
        <v>1817</v>
      </c>
      <c r="C29" s="1967" t="s">
        <v>3854</v>
      </c>
      <c r="D29" s="418">
        <v>100</v>
      </c>
      <c r="E29" s="1967" t="s">
        <v>3854</v>
      </c>
      <c r="F29" s="412">
        <f>SUMIF(88:88,E29,89:89)-SUMIF(88:88,C29,89:89)+100</f>
        <v>100</v>
      </c>
      <c r="G29" s="1967" t="s">
        <v>3854</v>
      </c>
      <c r="H29" s="386">
        <f>SUMIF(88:88,G29,89:89)-SUMIF(88:88,C29,89:89)+100</f>
        <v>100</v>
      </c>
      <c r="I29" s="1967" t="s">
        <v>3854</v>
      </c>
      <c r="J29" s="418">
        <f>SUMIF(88:88,I29,89:89)-SUMIF(88:88,C29,89:89)+100</f>
        <v>100</v>
      </c>
      <c r="K29" s="561"/>
      <c r="L29" s="923"/>
      <c r="M29" s="914"/>
      <c r="N29" s="914"/>
      <c r="O29" s="922"/>
      <c r="P29" s="3906" t="s">
        <v>1696</v>
      </c>
      <c r="Q29" s="1352" t="str">
        <f t="shared" si="11"/>
        <v>建筑类型</v>
      </c>
      <c r="R29" s="705" t="s">
        <v>14</v>
      </c>
      <c r="S29" s="706">
        <f t="shared" si="12"/>
        <v>100</v>
      </c>
      <c r="T29" s="705" t="s">
        <v>14</v>
      </c>
      <c r="U29" s="706">
        <f t="shared" si="13"/>
        <v>100</v>
      </c>
      <c r="V29" s="705" t="s">
        <v>14</v>
      </c>
      <c r="W29" s="706">
        <f t="shared" si="14"/>
        <v>100</v>
      </c>
      <c r="X29" s="1355"/>
      <c r="Y29" s="3887" t="s">
        <v>1696</v>
      </c>
      <c r="Z29" s="1356" t="str">
        <f t="shared" si="15"/>
        <v>建筑类型</v>
      </c>
      <c r="AA29" s="1353">
        <f t="shared" si="3"/>
        <v>1</v>
      </c>
      <c r="AB29" s="1353">
        <f t="shared" si="4"/>
        <v>1</v>
      </c>
      <c r="AC29" s="1353">
        <f t="shared" si="5"/>
        <v>1</v>
      </c>
    </row>
    <row r="30" spans="1:29" s="422" customFormat="1" ht="15">
      <c r="A30" s="419"/>
      <c r="B30" s="375" t="s">
        <v>1697</v>
      </c>
      <c r="C30" s="420">
        <f>'数据-汇总表'!F19</f>
        <v>5605.5</v>
      </c>
      <c r="D30" s="127">
        <v>100</v>
      </c>
      <c r="E30" s="381">
        <f>售价案例!$N$2</f>
        <v>4614</v>
      </c>
      <c r="F30" s="376">
        <f>LOOKUP(E30,91:91,92:92)-LOOKUP(C30,91:91,92:92)+100</f>
        <v>101</v>
      </c>
      <c r="G30" s="380">
        <f>售价案例!$N$3</f>
        <v>5120</v>
      </c>
      <c r="H30" s="127">
        <f>LOOKUP(G30,91:91,92:92)-LOOKUP(C30,91:91,92:92)+100</f>
        <v>100</v>
      </c>
      <c r="I30" s="380">
        <f>售价案例!$N$5</f>
        <v>1919</v>
      </c>
      <c r="J30" s="127">
        <f>LOOKUP(I30,91:91,92:92)-LOOKUP(C30,91:91,92:92)+100</f>
        <v>102</v>
      </c>
      <c r="K30" s="562"/>
      <c r="L30" s="921"/>
      <c r="M30" s="924"/>
      <c r="N30" s="924"/>
      <c r="O30" s="925"/>
      <c r="P30" s="3887"/>
      <c r="Q30" s="707" t="str">
        <f t="shared" si="11"/>
        <v>项目建筑规模</v>
      </c>
      <c r="R30" s="708" t="s">
        <v>14</v>
      </c>
      <c r="S30" s="709">
        <f t="shared" si="12"/>
        <v>101</v>
      </c>
      <c r="T30" s="708" t="s">
        <v>14</v>
      </c>
      <c r="U30" s="709">
        <f t="shared" si="13"/>
        <v>100</v>
      </c>
      <c r="V30" s="708" t="s">
        <v>14</v>
      </c>
      <c r="W30" s="709">
        <f t="shared" si="14"/>
        <v>102</v>
      </c>
      <c r="X30" s="710"/>
      <c r="Y30" s="3887"/>
      <c r="Z30" s="711" t="str">
        <f t="shared" si="15"/>
        <v>项目建筑规模</v>
      </c>
      <c r="AA30" s="1353">
        <f t="shared" si="3"/>
        <v>0.99009900990099009</v>
      </c>
      <c r="AB30" s="1353">
        <f t="shared" si="4"/>
        <v>1</v>
      </c>
      <c r="AC30" s="1353">
        <f t="shared" si="5"/>
        <v>0.98039215686274506</v>
      </c>
    </row>
    <row r="31" spans="1:29" ht="15">
      <c r="A31" s="423"/>
      <c r="B31" s="375" t="s">
        <v>1698</v>
      </c>
      <c r="C31" s="411" t="s">
        <v>3393</v>
      </c>
      <c r="D31" s="386">
        <v>100</v>
      </c>
      <c r="E31" s="411" t="s">
        <v>3393</v>
      </c>
      <c r="F31" s="412">
        <f>SUMIF(93:93,E31,94:94)-SUMIF(93:93,C31,94:94)+100</f>
        <v>100</v>
      </c>
      <c r="G31" s="411" t="s">
        <v>3393</v>
      </c>
      <c r="H31" s="386">
        <f>SUMIF(93:93,G31,94:94)-SUMIF(93:93,C31,94:94)+100</f>
        <v>100</v>
      </c>
      <c r="I31" s="411" t="s">
        <v>3393</v>
      </c>
      <c r="J31" s="386">
        <f>SUMIF(93:93,I31,94:94)-SUMIF(93:93,C31,94:94)+100</f>
        <v>100</v>
      </c>
      <c r="K31" s="561"/>
      <c r="L31" s="923"/>
      <c r="M31" s="914"/>
      <c r="N31" s="914"/>
      <c r="O31" s="922"/>
      <c r="P31" s="3887"/>
      <c r="Q31" s="1352" t="str">
        <f t="shared" si="11"/>
        <v>建筑结构</v>
      </c>
      <c r="R31" s="705" t="s">
        <v>14</v>
      </c>
      <c r="S31" s="706">
        <f t="shared" si="12"/>
        <v>100</v>
      </c>
      <c r="T31" s="705" t="s">
        <v>14</v>
      </c>
      <c r="U31" s="706">
        <f t="shared" si="13"/>
        <v>100</v>
      </c>
      <c r="V31" s="705" t="s">
        <v>14</v>
      </c>
      <c r="W31" s="706">
        <f t="shared" si="14"/>
        <v>100</v>
      </c>
      <c r="X31" s="1355"/>
      <c r="Y31" s="3887"/>
      <c r="Z31" s="1356" t="str">
        <f t="shared" si="15"/>
        <v>建筑结构</v>
      </c>
      <c r="AA31" s="1353">
        <f t="shared" si="3"/>
        <v>1</v>
      </c>
      <c r="AB31" s="1353">
        <f t="shared" si="4"/>
        <v>1</v>
      </c>
      <c r="AC31" s="1353">
        <f t="shared" si="5"/>
        <v>1</v>
      </c>
    </row>
    <row r="32" spans="1:29" ht="15" hidden="1">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87"/>
      <c r="Q32" s="1352" t="str">
        <f t="shared" si="11"/>
        <v>公共部分装修</v>
      </c>
      <c r="R32" s="705" t="s">
        <v>14</v>
      </c>
      <c r="S32" s="706">
        <f t="shared" si="12"/>
        <v>100</v>
      </c>
      <c r="T32" s="705" t="s">
        <v>14</v>
      </c>
      <c r="U32" s="706">
        <f t="shared" si="13"/>
        <v>100</v>
      </c>
      <c r="V32" s="705" t="s">
        <v>14</v>
      </c>
      <c r="W32" s="706">
        <f t="shared" si="14"/>
        <v>100</v>
      </c>
      <c r="X32" s="1355"/>
      <c r="Y32" s="3887"/>
      <c r="Z32" s="1356" t="str">
        <f t="shared" si="15"/>
        <v>公共部分装修</v>
      </c>
      <c r="AA32" s="1353">
        <f t="shared" si="3"/>
        <v>1</v>
      </c>
      <c r="AB32" s="1353">
        <f t="shared" si="4"/>
        <v>1</v>
      </c>
      <c r="AC32" s="1353">
        <f t="shared" si="5"/>
        <v>1</v>
      </c>
    </row>
    <row r="33" spans="1:29" ht="15" hidden="1">
      <c r="A33" s="423"/>
      <c r="B33" s="3619" t="s">
        <v>1786</v>
      </c>
      <c r="C33" s="3629">
        <f>'数据-取费表'!N6</f>
        <v>0.78</v>
      </c>
      <c r="D33" s="3620">
        <v>100</v>
      </c>
      <c r="E33" s="3621">
        <v>0.88</v>
      </c>
      <c r="F33" s="3622">
        <f>LOOKUP(E33,98:98,99:99)-LOOKUP(C33,98:98,99:99)+100</f>
        <v>100</v>
      </c>
      <c r="G33" s="3621">
        <v>0.88</v>
      </c>
      <c r="H33" s="3622">
        <f>LOOKUP(G33,98:98,99:99)-LOOKUP(C33,98:98,99:99)+100</f>
        <v>100</v>
      </c>
      <c r="I33" s="3621">
        <v>0.8</v>
      </c>
      <c r="J33" s="386">
        <f>LOOKUP(I33,98:98,99:99)-LOOKUP(C33,98:98,99:99)+100</f>
        <v>100</v>
      </c>
      <c r="K33" s="561">
        <v>0</v>
      </c>
      <c r="L33" s="923"/>
      <c r="M33" s="914"/>
      <c r="N33" s="914"/>
      <c r="O33" s="922"/>
      <c r="P33" s="3887"/>
      <c r="Q33" s="1352" t="str">
        <f t="shared" si="11"/>
        <v>成新度</v>
      </c>
      <c r="R33" s="705" t="s">
        <v>14</v>
      </c>
      <c r="S33" s="706">
        <f t="shared" si="12"/>
        <v>100</v>
      </c>
      <c r="T33" s="705" t="s">
        <v>14</v>
      </c>
      <c r="U33" s="706">
        <f t="shared" si="13"/>
        <v>100</v>
      </c>
      <c r="V33" s="705" t="s">
        <v>14</v>
      </c>
      <c r="W33" s="706">
        <f t="shared" si="14"/>
        <v>100</v>
      </c>
      <c r="X33" s="1355"/>
      <c r="Y33" s="3887"/>
      <c r="Z33" s="1356" t="str">
        <f t="shared" si="15"/>
        <v>成新度</v>
      </c>
      <c r="AA33" s="1353">
        <f t="shared" si="3"/>
        <v>1</v>
      </c>
      <c r="AB33" s="1353">
        <f t="shared" si="4"/>
        <v>1</v>
      </c>
      <c r="AC33" s="1353">
        <f t="shared" si="5"/>
        <v>1</v>
      </c>
    </row>
    <row r="34" spans="1:29" s="108" customFormat="1" ht="15" hidden="1">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87"/>
      <c r="Q34" s="1343" t="str">
        <f t="shared" si="11"/>
        <v>物业管理</v>
      </c>
      <c r="R34" s="701" t="s">
        <v>14</v>
      </c>
      <c r="S34" s="702">
        <f t="shared" si="12"/>
        <v>100</v>
      </c>
      <c r="T34" s="701" t="s">
        <v>14</v>
      </c>
      <c r="U34" s="702">
        <f t="shared" si="13"/>
        <v>100</v>
      </c>
      <c r="V34" s="701" t="s">
        <v>14</v>
      </c>
      <c r="W34" s="702">
        <f t="shared" si="14"/>
        <v>100</v>
      </c>
      <c r="X34" s="703"/>
      <c r="Y34" s="3887"/>
      <c r="Z34" s="52" t="str">
        <f t="shared" si="15"/>
        <v>物业管理</v>
      </c>
      <c r="AA34" s="704">
        <f t="shared" si="3"/>
        <v>1</v>
      </c>
      <c r="AB34" s="704">
        <f t="shared" si="4"/>
        <v>1</v>
      </c>
      <c r="AC34" s="704">
        <f t="shared" si="5"/>
        <v>1</v>
      </c>
    </row>
    <row r="35" spans="1:29" ht="15">
      <c r="A35" s="423"/>
      <c r="B35" s="375" t="s">
        <v>1787</v>
      </c>
      <c r="C35" s="411" t="s">
        <v>3816</v>
      </c>
      <c r="D35" s="386">
        <v>100</v>
      </c>
      <c r="E35" s="411" t="s">
        <v>3816</v>
      </c>
      <c r="F35" s="412">
        <f>SUMIF(102:102,E35,103:103)-SUMIF(102:102,C35,103:103)+100</f>
        <v>100</v>
      </c>
      <c r="G35" s="411" t="s">
        <v>3816</v>
      </c>
      <c r="H35" s="386">
        <f>SUMIF(102:102,G35,103:103)-SUMIF(102:102,C35,103:103)+100</f>
        <v>100</v>
      </c>
      <c r="I35" s="411" t="s">
        <v>3816</v>
      </c>
      <c r="J35" s="386">
        <f>SUMIF(102:102,I35,103:103)-SUMIF(102:102,C35,103:103)+100</f>
        <v>100</v>
      </c>
      <c r="K35" s="561"/>
      <c r="L35" s="923"/>
      <c r="M35" s="914"/>
      <c r="N35" s="914"/>
      <c r="O35" s="922"/>
      <c r="P35" s="3887" t="s">
        <v>1696</v>
      </c>
      <c r="Q35" s="1352" t="str">
        <f t="shared" si="11"/>
        <v>市政基础设施</v>
      </c>
      <c r="R35" s="705" t="s">
        <v>14</v>
      </c>
      <c r="S35" s="706">
        <f t="shared" si="12"/>
        <v>100</v>
      </c>
      <c r="T35" s="705" t="s">
        <v>14</v>
      </c>
      <c r="U35" s="706">
        <f t="shared" si="13"/>
        <v>100</v>
      </c>
      <c r="V35" s="705" t="s">
        <v>14</v>
      </c>
      <c r="W35" s="706">
        <f t="shared" si="14"/>
        <v>100</v>
      </c>
      <c r="X35" s="1355"/>
      <c r="Y35" s="3887" t="s">
        <v>1696</v>
      </c>
      <c r="Z35" s="1356" t="str">
        <f t="shared" si="15"/>
        <v>市政基础设施</v>
      </c>
      <c r="AA35" s="1353">
        <f t="shared" si="3"/>
        <v>1</v>
      </c>
      <c r="AB35" s="1353">
        <f t="shared" si="4"/>
        <v>1</v>
      </c>
      <c r="AC35" s="1353">
        <f t="shared" si="5"/>
        <v>1</v>
      </c>
    </row>
    <row r="36" spans="1:29" ht="15">
      <c r="A36" s="423"/>
      <c r="B36" s="375" t="s">
        <v>1792</v>
      </c>
      <c r="C36" s="411" t="s">
        <v>3819</v>
      </c>
      <c r="D36" s="386">
        <v>100</v>
      </c>
      <c r="E36" s="411" t="s">
        <v>3819</v>
      </c>
      <c r="F36" s="412">
        <f>SUMIF(104:104,E36,105:105)-SUMIF(104:104,C36,105:105)+100</f>
        <v>100</v>
      </c>
      <c r="G36" s="411" t="s">
        <v>3819</v>
      </c>
      <c r="H36" s="386">
        <f>SUMIF(104:104,G36,105:105)-SUMIF(104:104,C36,105:105)+100</f>
        <v>100</v>
      </c>
      <c r="I36" s="411" t="s">
        <v>3819</v>
      </c>
      <c r="J36" s="386">
        <f>SUMIF(104:104,I36,105:105)-SUMIF(104:104,C36,105:105)+100</f>
        <v>100</v>
      </c>
      <c r="K36" s="561">
        <v>1</v>
      </c>
      <c r="L36" s="923"/>
      <c r="M36" s="914"/>
      <c r="N36" s="914"/>
      <c r="O36" s="922"/>
      <c r="P36" s="3887"/>
      <c r="Q36" s="1352" t="str">
        <f t="shared" si="11"/>
        <v>内部装修</v>
      </c>
      <c r="R36" s="705" t="s">
        <v>14</v>
      </c>
      <c r="S36" s="706">
        <f t="shared" si="12"/>
        <v>100</v>
      </c>
      <c r="T36" s="705" t="s">
        <v>14</v>
      </c>
      <c r="U36" s="706">
        <f t="shared" si="13"/>
        <v>100</v>
      </c>
      <c r="V36" s="705" t="s">
        <v>14</v>
      </c>
      <c r="W36" s="706">
        <f t="shared" si="14"/>
        <v>100</v>
      </c>
      <c r="X36" s="1355"/>
      <c r="Y36" s="3887"/>
      <c r="Z36" s="1356" t="str">
        <f t="shared" si="15"/>
        <v>内部装修</v>
      </c>
      <c r="AA36" s="1353">
        <f t="shared" si="3"/>
        <v>1</v>
      </c>
      <c r="AB36" s="1353">
        <f t="shared" si="4"/>
        <v>1</v>
      </c>
      <c r="AC36" s="1353">
        <f t="shared" si="5"/>
        <v>1</v>
      </c>
    </row>
    <row r="37" spans="1:29" ht="15.75" thickBot="1">
      <c r="A37" s="423"/>
      <c r="B37" s="375" t="s">
        <v>1828</v>
      </c>
      <c r="C37" s="565" t="s">
        <v>3413</v>
      </c>
      <c r="D37" s="386">
        <v>100</v>
      </c>
      <c r="E37" s="565" t="s">
        <v>3413</v>
      </c>
      <c r="F37" s="412">
        <f>SUMIF(106:106,E37,107:107)-SUMIF(106:106,C37,107:107)+100</f>
        <v>100</v>
      </c>
      <c r="G37" s="565" t="s">
        <v>3413</v>
      </c>
      <c r="H37" s="386">
        <f>SUMIF(106:106,G37,107:107)-SUMIF(106:106,C37,107:107)+100</f>
        <v>100</v>
      </c>
      <c r="I37" s="565" t="s">
        <v>3413</v>
      </c>
      <c r="J37" s="386">
        <f>SUMIF(106:106,I37,107:107)-SUMIF(106:106,C37,107:107)+100</f>
        <v>100</v>
      </c>
      <c r="K37" s="561"/>
      <c r="L37" s="923"/>
      <c r="M37" s="914"/>
      <c r="N37" s="914"/>
      <c r="O37" s="922"/>
      <c r="P37" s="3887"/>
      <c r="Q37" s="1352" t="str">
        <f t="shared" si="11"/>
        <v>内部装修状况</v>
      </c>
      <c r="R37" s="705" t="s">
        <v>14</v>
      </c>
      <c r="S37" s="706">
        <f t="shared" si="12"/>
        <v>100</v>
      </c>
      <c r="T37" s="705" t="s">
        <v>14</v>
      </c>
      <c r="U37" s="706">
        <f t="shared" si="13"/>
        <v>100</v>
      </c>
      <c r="V37" s="705" t="s">
        <v>14</v>
      </c>
      <c r="W37" s="706">
        <f t="shared" si="14"/>
        <v>100</v>
      </c>
      <c r="X37" s="1355"/>
      <c r="Y37" s="3887"/>
      <c r="Z37" s="1356" t="str">
        <f t="shared" si="15"/>
        <v>内部装修状况</v>
      </c>
      <c r="AA37" s="1353">
        <f t="shared" si="3"/>
        <v>1</v>
      </c>
      <c r="AB37" s="1353">
        <f t="shared" si="4"/>
        <v>1</v>
      </c>
      <c r="AC37" s="1353">
        <f t="shared" si="5"/>
        <v>1</v>
      </c>
    </row>
    <row r="38" spans="1:29" s="422" customFormat="1" ht="15.75" thickTop="1">
      <c r="A38" s="419"/>
      <c r="B38" s="3632" t="s">
        <v>3853</v>
      </c>
      <c r="C38" s="3604" t="s">
        <v>3852</v>
      </c>
      <c r="D38" s="386">
        <v>100</v>
      </c>
      <c r="E38" s="3604" t="s">
        <v>3866</v>
      </c>
      <c r="F38" s="412">
        <f>SUMIF(108:108,E38,109:109)-SUMIF(108:108,C38,109:109)+100</f>
        <v>100</v>
      </c>
      <c r="G38" s="3604" t="s">
        <v>3865</v>
      </c>
      <c r="H38" s="386">
        <f>SUMIF(108:108,G38,109:109)-SUMIF(108:108,C38,109:109)+100</f>
        <v>101</v>
      </c>
      <c r="I38" s="3604" t="s">
        <v>3852</v>
      </c>
      <c r="J38" s="386">
        <f>SUMIF(108:108,I38,109:1038)-SUMIF(108:108,C38,109:109)+100</f>
        <v>100</v>
      </c>
      <c r="K38" s="562"/>
      <c r="L38" s="921"/>
      <c r="M38" s="924"/>
      <c r="N38" s="924"/>
      <c r="O38" s="925"/>
      <c r="P38" s="3887"/>
      <c r="Q38" s="707" t="str">
        <f t="shared" si="11"/>
        <v>成新度</v>
      </c>
      <c r="R38" s="708" t="s">
        <v>14</v>
      </c>
      <c r="S38" s="709">
        <f t="shared" si="12"/>
        <v>100</v>
      </c>
      <c r="T38" s="708" t="s">
        <v>14</v>
      </c>
      <c r="U38" s="709">
        <f t="shared" si="13"/>
        <v>101</v>
      </c>
      <c r="V38" s="708" t="s">
        <v>14</v>
      </c>
      <c r="W38" s="709">
        <f t="shared" si="14"/>
        <v>100</v>
      </c>
      <c r="X38" s="710"/>
      <c r="Y38" s="3887"/>
      <c r="Z38" s="711" t="str">
        <f t="shared" si="15"/>
        <v>成新度</v>
      </c>
      <c r="AA38" s="1353">
        <f t="shared" si="3"/>
        <v>1</v>
      </c>
      <c r="AB38" s="1353">
        <f t="shared" si="4"/>
        <v>0.99009900990099009</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3630">
        <f>1-(2023-2011)/60</f>
        <v>0.8</v>
      </c>
      <c r="N39" s="914"/>
      <c r="O39" s="922"/>
      <c r="P39" s="3887"/>
      <c r="Q39" s="1352">
        <f t="shared" si="11"/>
        <v>111</v>
      </c>
      <c r="R39" s="705" t="s">
        <v>14</v>
      </c>
      <c r="S39" s="706">
        <f t="shared" si="12"/>
        <v>100</v>
      </c>
      <c r="T39" s="705" t="s">
        <v>14</v>
      </c>
      <c r="U39" s="706">
        <f t="shared" si="13"/>
        <v>100</v>
      </c>
      <c r="V39" s="705" t="s">
        <v>14</v>
      </c>
      <c r="W39" s="706">
        <f t="shared" si="14"/>
        <v>100</v>
      </c>
      <c r="X39" s="1355"/>
      <c r="Y39" s="388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88"/>
      <c r="Q40" s="1352">
        <f t="shared" si="11"/>
        <v>111</v>
      </c>
      <c r="R40" s="705" t="s">
        <v>14</v>
      </c>
      <c r="S40" s="706">
        <f t="shared" si="12"/>
        <v>100</v>
      </c>
      <c r="T40" s="705" t="s">
        <v>14</v>
      </c>
      <c r="U40" s="706">
        <f t="shared" si="13"/>
        <v>100</v>
      </c>
      <c r="V40" s="705" t="s">
        <v>14</v>
      </c>
      <c r="W40" s="706">
        <f t="shared" si="14"/>
        <v>100</v>
      </c>
      <c r="X40" s="1355"/>
      <c r="Y40" s="3888"/>
      <c r="Z40" s="1356">
        <f t="shared" si="15"/>
        <v>111</v>
      </c>
      <c r="AA40" s="1353">
        <f t="shared" si="3"/>
        <v>1</v>
      </c>
      <c r="AB40" s="1353">
        <f t="shared" si="4"/>
        <v>1</v>
      </c>
      <c r="AC40" s="1353">
        <f t="shared" si="5"/>
        <v>1</v>
      </c>
    </row>
    <row r="41" spans="1:29" ht="15">
      <c r="A41" s="430" t="s">
        <v>1708</v>
      </c>
      <c r="B41" s="431"/>
      <c r="C41" s="1154" t="s">
        <v>0</v>
      </c>
      <c r="D41" s="1155"/>
      <c r="E41" s="1156">
        <f>售价案例!$O$2</f>
        <v>15000</v>
      </c>
      <c r="F41" s="1157"/>
      <c r="G41" s="1158">
        <f>售价案例!$O$3</f>
        <v>15329</v>
      </c>
      <c r="H41" s="1159"/>
      <c r="I41" s="1156">
        <f>售价案例!$O$5</f>
        <v>13800</v>
      </c>
      <c r="J41" s="1159"/>
      <c r="K41" s="714"/>
      <c r="L41" s="926"/>
      <c r="M41" s="927"/>
      <c r="N41" s="914"/>
      <c r="O41" s="927"/>
      <c r="P41" s="3880" t="str">
        <f>A41</f>
        <v>成交单价（元/平方米）</v>
      </c>
      <c r="Q41" s="3880"/>
      <c r="R41" s="3881">
        <f>E41</f>
        <v>15000</v>
      </c>
      <c r="S41" s="3881"/>
      <c r="T41" s="3881">
        <f>G41</f>
        <v>15329</v>
      </c>
      <c r="U41" s="3881"/>
      <c r="V41" s="3881">
        <f>I41</f>
        <v>13800</v>
      </c>
      <c r="W41" s="3881"/>
      <c r="X41" s="690"/>
      <c r="Y41" s="712"/>
      <c r="Z41" s="690"/>
      <c r="AA41" s="690"/>
      <c r="AB41" s="690"/>
      <c r="AC41" s="690"/>
    </row>
    <row r="42" spans="1:29" ht="15.75" thickBot="1">
      <c r="A42" s="437" t="s">
        <v>1793</v>
      </c>
      <c r="B42" s="438"/>
      <c r="C42" s="1160">
        <f>R43</f>
        <v>14592</v>
      </c>
      <c r="D42" s="2317" t="s">
        <v>2138</v>
      </c>
      <c r="E42" s="1161">
        <f>R42</f>
        <v>15002</v>
      </c>
      <c r="F42" s="2318"/>
      <c r="G42" s="1160">
        <f>T42</f>
        <v>15177</v>
      </c>
      <c r="H42" s="2318"/>
      <c r="I42" s="1161">
        <f>V42</f>
        <v>13597</v>
      </c>
      <c r="J42" s="2318"/>
      <c r="K42" s="2320">
        <f>F42+H42+J42</f>
        <v>0</v>
      </c>
      <c r="L42" s="926"/>
      <c r="M42" s="927"/>
      <c r="N42" s="914"/>
      <c r="O42" s="927"/>
      <c r="P42" s="3880" t="str">
        <f>A42</f>
        <v>比较价值（元/平方米）</v>
      </c>
      <c r="Q42" s="3880"/>
      <c r="R42" s="3881">
        <f>IF(F1="售价",ROUND(PRODUCT(R41,AA7:AA40),0),ROUND(PRODUCT(R41,AA7:AA40),1))</f>
        <v>15002</v>
      </c>
      <c r="S42" s="3881"/>
      <c r="T42" s="3881">
        <f>IF(F1="售价",ROUND(PRODUCT(T41,AB7:AB40),0),ROUND(PRODUCT(T41,AB7:AB40),1))</f>
        <v>15177</v>
      </c>
      <c r="U42" s="3881"/>
      <c r="V42" s="3881">
        <f>IF(F1="售价",ROUND(PRODUCT(V41,AC7:AC40),0),ROUND(PRODUCT(V41,AC7:AC40),1))</f>
        <v>13597</v>
      </c>
      <c r="W42" s="3881"/>
      <c r="X42" s="690"/>
      <c r="Y42" s="690"/>
      <c r="Z42" s="690"/>
      <c r="AA42" s="690"/>
      <c r="AB42" s="690"/>
      <c r="AC42" s="690"/>
    </row>
    <row r="43" spans="1:29" ht="15.75" thickBot="1">
      <c r="A43" s="441" t="s">
        <v>1794</v>
      </c>
      <c r="B43" s="442"/>
      <c r="C43" s="1163">
        <f>R43</f>
        <v>14592</v>
      </c>
      <c r="D43" s="1163"/>
      <c r="E43" s="1163"/>
      <c r="F43" s="1163"/>
      <c r="G43" s="1163"/>
      <c r="H43" s="1163"/>
      <c r="I43" s="1163"/>
      <c r="J43" s="1163"/>
      <c r="K43" s="715"/>
      <c r="L43" s="926"/>
      <c r="M43" s="927"/>
      <c r="N43" s="927"/>
      <c r="O43" s="927"/>
      <c r="P43" s="3877" t="str">
        <f>A43</f>
        <v>估价对象XX用房的比较价值（楼面单价，元/平方米）</v>
      </c>
      <c r="Q43" s="3878"/>
      <c r="R43" s="3879">
        <f>IF(F1="售价",ROUND(IF(D42="简单平均",AVERAGE(R42:V42),R42*F42+T42*H42+V42*J42),0),ROUND(IF(D42="简单平均",AVERAGE(R42:V42),R42*F42+T42*H42+V42*J42),1))</f>
        <v>14592</v>
      </c>
      <c r="S43" s="3879"/>
      <c r="T43" s="3879"/>
      <c r="U43" s="3879"/>
      <c r="V43" s="3879"/>
      <c r="W43" s="3879"/>
      <c r="X43" s="690"/>
      <c r="Y43" s="690"/>
      <c r="Z43" s="690"/>
      <c r="AA43" s="690"/>
      <c r="AB43" s="690"/>
      <c r="AC43" s="690"/>
    </row>
    <row r="44" spans="1:29">
      <c r="A44" s="2723"/>
      <c r="B44" s="2723"/>
      <c r="C44" s="2723"/>
      <c r="D44" s="2723"/>
      <c r="E44" s="2723">
        <v>2016</v>
      </c>
      <c r="F44" s="2723"/>
      <c r="G44" s="2727">
        <v>0.85</v>
      </c>
      <c r="H44" s="2723"/>
      <c r="I44" s="2723">
        <v>2011</v>
      </c>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f>IF(E41&lt;E42,E42/E41-1,E41/E42-1)</f>
        <v>1.3333333333331865E-4</v>
      </c>
      <c r="F46" s="449" t="str">
        <f>IF(OR(E46&gt;=0.3,E46&lt;=-0.3),"超过30%","")</f>
        <v/>
      </c>
      <c r="G46" s="448">
        <f>IF(G41&lt;G42,G42/G41-1,G41/G42-1)</f>
        <v>1.0015154510113922E-2</v>
      </c>
      <c r="H46" s="449" t="str">
        <f>IF(OR(G46&gt;=0.3,G46&lt;=-0.3),"超过30%","")</f>
        <v/>
      </c>
      <c r="I46" s="448">
        <f>IF(I41&lt;I42,I42/I41-1,I41/I42-1)</f>
        <v>1.4929763918511529E-2</v>
      </c>
      <c r="J46" s="449" t="str">
        <f>IF(OR(I46&gt;=0.3,I46&lt;=-0.3),"超过30%","")</f>
        <v/>
      </c>
      <c r="K46" s="2728"/>
      <c r="L46" s="889"/>
      <c r="M46" s="927"/>
      <c r="N46" s="927"/>
      <c r="O46" s="927"/>
    </row>
    <row r="47" spans="1:29" ht="13.5" customHeight="1">
      <c r="A47" s="2723"/>
      <c r="B47" s="2723"/>
      <c r="C47" s="446" t="s">
        <v>1796</v>
      </c>
      <c r="D47" s="450"/>
      <c r="E47" s="448">
        <f>IF(E42&lt;G42,G42/E42-1,E42/G42-1)</f>
        <v>1.1665111318490906E-2</v>
      </c>
      <c r="F47" s="449" t="str">
        <f>IF(OR(E47&gt;=0.2,E47&lt;=-0.2),"超过20%","")</f>
        <v/>
      </c>
      <c r="G47" s="448">
        <f>IF(G42&lt;I42,I42/G42-1,G42/I42-1)</f>
        <v>0.11620210340516279</v>
      </c>
      <c r="H47" s="449" t="str">
        <f>IF(OR(G47&gt;=0.2,G47&lt;=-0.2),"超过20%","")</f>
        <v/>
      </c>
      <c r="I47" s="448">
        <f>IF(I42&lt;E42,E42/I42-1,I42/E42-1)</f>
        <v>0.10333161726851503</v>
      </c>
      <c r="J47" s="449" t="str">
        <f>IF(OR(I47&gt;=0.2,I47&lt;=-0.2),"超过20%","")</f>
        <v/>
      </c>
      <c r="K47" s="2728"/>
      <c r="L47" s="889"/>
      <c r="M47" s="927"/>
      <c r="N47" s="927"/>
      <c r="O47" s="927"/>
    </row>
    <row r="48" spans="1:29" s="451" customFormat="1" ht="13.5" customHeight="1">
      <c r="A48" s="2726"/>
      <c r="B48" s="2726"/>
      <c r="C48" s="446" t="s">
        <v>1797</v>
      </c>
      <c r="D48" s="450"/>
      <c r="E48" s="448">
        <f>IF(E41&lt;G41,G41/E41-1,E41/G41-1)</f>
        <v>2.193333333333336E-2</v>
      </c>
      <c r="F48" s="449" t="str">
        <f>IF(OR(E48&gt;=0.3,E48&lt;=-0.3),"超过30%","")</f>
        <v/>
      </c>
      <c r="G48" s="448">
        <f>IF(G41&lt;I41,I41/G41-1,G41/I41-1)</f>
        <v>0.11079710144927546</v>
      </c>
      <c r="H48" s="449" t="str">
        <f>IF(OR(G48&gt;=0.3,G48&lt;=-0.3),"超过30%","")</f>
        <v/>
      </c>
      <c r="I48" s="448">
        <f>IF(I41&lt;E41,E41/I41-1,I41/E41-1)</f>
        <v>8.6956521739130377E-2</v>
      </c>
      <c r="J48" s="449" t="str">
        <f>IF(OR(I48&gt;=0.3,I48&lt;=-0.3),"超过30%","")</f>
        <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v>100</v>
      </c>
      <c r="E53" s="461">
        <v>100</v>
      </c>
      <c r="F53" s="461">
        <v>100</v>
      </c>
      <c r="G53" s="461">
        <v>100</v>
      </c>
      <c r="H53" s="461">
        <v>99.5</v>
      </c>
      <c r="I53" s="461">
        <v>99.5</v>
      </c>
      <c r="J53" s="461">
        <v>99.5</v>
      </c>
      <c r="K53" s="461">
        <v>99.5</v>
      </c>
      <c r="L53" s="461">
        <v>99.5</v>
      </c>
      <c r="M53" s="462">
        <v>99.5</v>
      </c>
      <c r="N53" s="461">
        <v>99</v>
      </c>
      <c r="O53" s="463">
        <v>99</v>
      </c>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0</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98</v>
      </c>
      <c r="E77" s="493">
        <f>D77-$K21</f>
        <v>96</v>
      </c>
      <c r="F77" s="493">
        <f>E77-$K21</f>
        <v>94</v>
      </c>
      <c r="G77" s="493">
        <f>F77-$K21</f>
        <v>92</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603" t="s">
        <v>3855</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29.25" thickTop="1">
      <c r="A90" s="483"/>
      <c r="B90" s="487" t="s">
        <v>1737</v>
      </c>
      <c r="C90" s="527" t="str">
        <f>C91&amp;"(含)"&amp;"-"&amp;D91</f>
        <v>0(含)-2000</v>
      </c>
      <c r="D90" s="527" t="str">
        <f t="shared" ref="D90:L90" si="20">D91&amp;"(含)"&amp;"-"&amp;E91</f>
        <v>2000(含)-5000</v>
      </c>
      <c r="E90" s="527" t="str">
        <f t="shared" si="20"/>
        <v>5000(含)-8000</v>
      </c>
      <c r="F90" s="527" t="str">
        <f t="shared" si="20"/>
        <v>8000(含)-10000</v>
      </c>
      <c r="G90" s="527" t="str">
        <f t="shared" si="20"/>
        <v>10000(含)-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2000</v>
      </c>
      <c r="E91" s="544">
        <v>5000</v>
      </c>
      <c r="F91" s="544">
        <v>8000</v>
      </c>
      <c r="G91" s="544">
        <v>10000</v>
      </c>
      <c r="H91" s="544"/>
      <c r="I91" s="544"/>
      <c r="J91" s="545"/>
      <c r="K91" s="545"/>
      <c r="L91" s="546"/>
      <c r="M91" s="547"/>
      <c r="N91" s="935"/>
      <c r="O91" s="935"/>
      <c r="P91" s="507"/>
      <c r="Q91" s="508"/>
    </row>
    <row r="92" spans="1:17" s="422" customFormat="1" ht="15.75" thickBot="1">
      <c r="A92" s="502"/>
      <c r="B92" s="492"/>
      <c r="C92" s="509">
        <v>100</v>
      </c>
      <c r="D92" s="485">
        <f>C92-1</f>
        <v>99</v>
      </c>
      <c r="E92" s="485">
        <f t="shared" ref="E92:G92" si="21">D92-1</f>
        <v>98</v>
      </c>
      <c r="F92" s="485">
        <f t="shared" si="21"/>
        <v>97</v>
      </c>
      <c r="G92" s="485">
        <f t="shared" si="21"/>
        <v>96</v>
      </c>
      <c r="H92" s="485"/>
      <c r="I92" s="485"/>
      <c r="J92" s="485"/>
      <c r="K92" s="485"/>
      <c r="L92" s="485"/>
      <c r="M92" s="486"/>
      <c r="N92" s="934"/>
      <c r="O92" s="934"/>
      <c r="P92" s="507"/>
      <c r="Q92" s="508"/>
    </row>
    <row r="93" spans="1:17" ht="15" thickTop="1">
      <c r="A93" s="548"/>
      <c r="B93" s="487" t="s">
        <v>1738</v>
      </c>
      <c r="C93" s="3604" t="s">
        <v>3831</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4">D99+$K33</f>
        <v>100</v>
      </c>
      <c r="F99" s="493">
        <f t="shared" si="24"/>
        <v>100</v>
      </c>
      <c r="G99" s="493">
        <f t="shared" si="24"/>
        <v>100</v>
      </c>
      <c r="H99" s="493">
        <f t="shared" si="24"/>
        <v>100</v>
      </c>
      <c r="I99" s="493">
        <f t="shared" si="24"/>
        <v>100</v>
      </c>
      <c r="J99" s="493">
        <f t="shared" si="24"/>
        <v>100</v>
      </c>
      <c r="K99" s="493">
        <f t="shared" si="24"/>
        <v>100</v>
      </c>
      <c r="L99" s="493">
        <f t="shared" si="24"/>
        <v>100</v>
      </c>
      <c r="M99" s="493">
        <f t="shared" si="24"/>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5"/>
      <c r="O101" s="935"/>
      <c r="P101" s="507"/>
      <c r="Q101" s="508"/>
    </row>
    <row r="102" spans="1:17" ht="15" thickTop="1">
      <c r="A102" s="548"/>
      <c r="B102" s="487" t="s">
        <v>1742</v>
      </c>
      <c r="C102" s="3604" t="s">
        <v>3856</v>
      </c>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4"/>
      <c r="O103" s="934"/>
      <c r="P103" s="42"/>
      <c r="Q103" s="453"/>
    </row>
    <row r="104" spans="1:17" ht="15" thickTop="1">
      <c r="A104" s="548"/>
      <c r="B104" s="487" t="s">
        <v>1744</v>
      </c>
      <c r="C104" s="3604" t="s">
        <v>3832</v>
      </c>
      <c r="D104" s="3604" t="s">
        <v>3833</v>
      </c>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4"/>
      <c r="O107" s="934"/>
      <c r="P107" s="42"/>
      <c r="Q107" s="453"/>
    </row>
    <row r="108" spans="1:17" s="422" customFormat="1" ht="28.5" thickTop="1">
      <c r="A108" s="542"/>
      <c r="B108" s="487" t="str">
        <f>B38</f>
        <v>成新度</v>
      </c>
      <c r="C108" s="503" t="s">
        <v>3867</v>
      </c>
      <c r="D108" s="503" t="s">
        <v>3868</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101</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863" t="s">
        <v>1770</v>
      </c>
      <c r="D4" s="3864"/>
      <c r="E4" s="3865" t="s">
        <v>1771</v>
      </c>
      <c r="F4" s="3866"/>
      <c r="G4" s="3863" t="s">
        <v>1772</v>
      </c>
      <c r="H4" s="3864"/>
      <c r="I4" s="3863" t="s">
        <v>1773</v>
      </c>
      <c r="J4" s="3864"/>
      <c r="K4" s="559" t="s">
        <v>1774</v>
      </c>
      <c r="L4" s="2713"/>
      <c r="M4" s="2714"/>
      <c r="N4" s="2714"/>
      <c r="O4" s="2714"/>
      <c r="P4" s="3867" t="s">
        <v>1775</v>
      </c>
      <c r="Q4" s="3868"/>
      <c r="R4" s="3850" t="s">
        <v>1771</v>
      </c>
      <c r="S4" s="3851"/>
      <c r="T4" s="3850" t="s">
        <v>1772</v>
      </c>
      <c r="U4" s="3851"/>
      <c r="V4" s="3875" t="s">
        <v>1773</v>
      </c>
      <c r="W4" s="3875"/>
      <c r="X4" s="1355"/>
      <c r="Y4" s="3850" t="s">
        <v>1775</v>
      </c>
      <c r="Z4" s="3851"/>
      <c r="AA4" s="3845" t="s">
        <v>1771</v>
      </c>
      <c r="AB4" s="3846" t="s">
        <v>1772</v>
      </c>
      <c r="AC4" s="3845" t="s">
        <v>1773</v>
      </c>
    </row>
    <row r="5" spans="1:29" ht="15">
      <c r="A5" s="358"/>
      <c r="B5" s="359"/>
      <c r="C5" s="3856" t="s">
        <v>1673</v>
      </c>
      <c r="D5" s="3857"/>
      <c r="E5" s="3854" t="s">
        <v>1674</v>
      </c>
      <c r="F5" s="3855"/>
      <c r="G5" s="3856" t="s">
        <v>1675</v>
      </c>
      <c r="H5" s="3857"/>
      <c r="I5" s="3856" t="s">
        <v>1676</v>
      </c>
      <c r="J5" s="3857"/>
      <c r="K5" s="559"/>
      <c r="L5" s="2713"/>
      <c r="M5" s="2714"/>
      <c r="N5" s="2714"/>
      <c r="O5" s="2714"/>
      <c r="P5" s="3869"/>
      <c r="Q5" s="3870"/>
      <c r="R5" s="3852"/>
      <c r="S5" s="3853"/>
      <c r="T5" s="3852"/>
      <c r="U5" s="3853"/>
      <c r="V5" s="3875"/>
      <c r="W5" s="3875"/>
      <c r="X5" s="1355"/>
      <c r="Y5" s="3852"/>
      <c r="Z5" s="3853"/>
      <c r="AA5" s="3846"/>
      <c r="AB5" s="3846"/>
      <c r="AC5" s="3846"/>
    </row>
    <row r="6" spans="1:29" ht="15.75" thickBot="1">
      <c r="A6" s="360"/>
      <c r="B6" s="361"/>
      <c r="C6" s="3858" t="s">
        <v>1677</v>
      </c>
      <c r="D6" s="3859"/>
      <c r="E6" s="3860" t="s">
        <v>1677</v>
      </c>
      <c r="F6" s="3861"/>
      <c r="G6" s="3858" t="s">
        <v>1677</v>
      </c>
      <c r="H6" s="3859"/>
      <c r="I6" s="3858" t="s">
        <v>1677</v>
      </c>
      <c r="J6" s="3859"/>
      <c r="K6" s="559" t="s">
        <v>1678</v>
      </c>
      <c r="L6" s="2713"/>
      <c r="M6" s="2714"/>
      <c r="N6" s="2714"/>
      <c r="O6" s="2714"/>
      <c r="P6" s="3871"/>
      <c r="Q6" s="3872"/>
      <c r="R6" s="3852"/>
      <c r="S6" s="3853"/>
      <c r="T6" s="3873"/>
      <c r="U6" s="3874"/>
      <c r="V6" s="3875"/>
      <c r="W6" s="3875"/>
      <c r="X6" s="1355"/>
      <c r="Y6" s="3873"/>
      <c r="Z6" s="3874"/>
      <c r="AA6" s="3847"/>
      <c r="AB6" s="3847"/>
      <c r="AC6" s="3847"/>
    </row>
    <row r="7" spans="1:29" s="108" customFormat="1" ht="15.75" thickBot="1">
      <c r="A7" s="362" t="s">
        <v>1679</v>
      </c>
      <c r="B7" s="363"/>
      <c r="C7" s="364">
        <f>'数据-取费表'!B2</f>
        <v>45056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48" t="s">
        <v>1680</v>
      </c>
      <c r="Q7" s="3876"/>
      <c r="R7" s="701" t="s">
        <v>14</v>
      </c>
      <c r="S7" s="702">
        <f t="shared" ref="S7:S14" si="0">F7</f>
        <v>0</v>
      </c>
      <c r="T7" s="701" t="s">
        <v>14</v>
      </c>
      <c r="U7" s="702">
        <f t="shared" ref="U7:U14" si="1">H7</f>
        <v>0</v>
      </c>
      <c r="V7" s="701" t="s">
        <v>14</v>
      </c>
      <c r="W7" s="702">
        <f t="shared" ref="W7:W14" si="2">J7</f>
        <v>0</v>
      </c>
      <c r="X7" s="703"/>
      <c r="Y7" s="3848" t="s">
        <v>1680</v>
      </c>
      <c r="Z7" s="384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48" t="s">
        <v>1683</v>
      </c>
      <c r="Q8" s="3849"/>
      <c r="R8" s="701" t="s">
        <v>14</v>
      </c>
      <c r="S8" s="702">
        <f t="shared" si="0"/>
        <v>100</v>
      </c>
      <c r="T8" s="701" t="s">
        <v>14</v>
      </c>
      <c r="U8" s="702">
        <f t="shared" si="1"/>
        <v>100</v>
      </c>
      <c r="V8" s="701" t="s">
        <v>14</v>
      </c>
      <c r="W8" s="702">
        <f t="shared" si="2"/>
        <v>100</v>
      </c>
      <c r="X8" s="703"/>
      <c r="Y8" s="3848" t="s">
        <v>1683</v>
      </c>
      <c r="Z8" s="384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880" t="s">
        <v>1686</v>
      </c>
      <c r="Q9" s="1343" t="str">
        <f t="shared" ref="Q9:Q14" si="6">B9</f>
        <v>用途</v>
      </c>
      <c r="R9" s="701" t="s">
        <v>14</v>
      </c>
      <c r="S9" s="702">
        <f t="shared" si="0"/>
        <v>100</v>
      </c>
      <c r="T9" s="701" t="s">
        <v>14</v>
      </c>
      <c r="U9" s="702">
        <f t="shared" si="1"/>
        <v>100</v>
      </c>
      <c r="V9" s="701" t="s">
        <v>14</v>
      </c>
      <c r="W9" s="702">
        <f t="shared" si="2"/>
        <v>100</v>
      </c>
      <c r="X9" s="703"/>
      <c r="Y9" s="3795"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880"/>
      <c r="Q10" s="1343" t="str">
        <f t="shared" si="6"/>
        <v>土地使用年限（年）</v>
      </c>
      <c r="R10" s="701" t="s">
        <v>14</v>
      </c>
      <c r="S10" s="702">
        <f t="shared" si="0"/>
        <v>100</v>
      </c>
      <c r="T10" s="701" t="s">
        <v>14</v>
      </c>
      <c r="U10" s="702">
        <f t="shared" si="1"/>
        <v>100</v>
      </c>
      <c r="V10" s="701" t="s">
        <v>14</v>
      </c>
      <c r="W10" s="702">
        <f t="shared" si="2"/>
        <v>100</v>
      </c>
      <c r="X10" s="703"/>
      <c r="Y10" s="379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880"/>
      <c r="Q11" s="1343">
        <f t="shared" si="6"/>
        <v>111</v>
      </c>
      <c r="R11" s="701" t="s">
        <v>14</v>
      </c>
      <c r="S11" s="702">
        <f t="shared" si="0"/>
        <v>100</v>
      </c>
      <c r="T11" s="701" t="s">
        <v>14</v>
      </c>
      <c r="U11" s="702">
        <f t="shared" si="1"/>
        <v>100</v>
      </c>
      <c r="V11" s="701" t="s">
        <v>14</v>
      </c>
      <c r="W11" s="702">
        <f t="shared" si="2"/>
        <v>100</v>
      </c>
      <c r="X11" s="703"/>
      <c r="Y11" s="379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880"/>
      <c r="Q12" s="1343">
        <f t="shared" si="6"/>
        <v>111</v>
      </c>
      <c r="R12" s="701" t="s">
        <v>14</v>
      </c>
      <c r="S12" s="702">
        <f t="shared" si="0"/>
        <v>100</v>
      </c>
      <c r="T12" s="701" t="s">
        <v>14</v>
      </c>
      <c r="U12" s="702">
        <f t="shared" si="1"/>
        <v>100</v>
      </c>
      <c r="V12" s="701" t="s">
        <v>14</v>
      </c>
      <c r="W12" s="702">
        <f t="shared" si="2"/>
        <v>100</v>
      </c>
      <c r="X12" s="703"/>
      <c r="Y12" s="379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880"/>
      <c r="Q13" s="1343">
        <f t="shared" si="6"/>
        <v>111</v>
      </c>
      <c r="R13" s="701" t="s">
        <v>14</v>
      </c>
      <c r="S13" s="702">
        <f t="shared" si="0"/>
        <v>100</v>
      </c>
      <c r="T13" s="701" t="s">
        <v>14</v>
      </c>
      <c r="U13" s="702">
        <f t="shared" si="1"/>
        <v>100</v>
      </c>
      <c r="V13" s="701" t="s">
        <v>14</v>
      </c>
      <c r="W13" s="702">
        <f t="shared" si="2"/>
        <v>100</v>
      </c>
      <c r="X13" s="703"/>
      <c r="Y13" s="379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882" t="s">
        <v>1691</v>
      </c>
      <c r="Q14" s="1352" t="str">
        <f t="shared" si="6"/>
        <v>交通便捷度</v>
      </c>
      <c r="R14" s="705" t="s">
        <v>14</v>
      </c>
      <c r="S14" s="706">
        <f t="shared" si="0"/>
        <v>100</v>
      </c>
      <c r="T14" s="705" t="s">
        <v>14</v>
      </c>
      <c r="U14" s="706">
        <f t="shared" si="1"/>
        <v>100</v>
      </c>
      <c r="V14" s="705" t="s">
        <v>14</v>
      </c>
      <c r="W14" s="706">
        <f t="shared" si="2"/>
        <v>100</v>
      </c>
      <c r="X14" s="1355"/>
      <c r="Y14" s="388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883"/>
      <c r="Q15" s="1352"/>
      <c r="R15" s="705"/>
      <c r="S15" s="706"/>
      <c r="T15" s="705"/>
      <c r="U15" s="706"/>
      <c r="V15" s="705"/>
      <c r="W15" s="706"/>
      <c r="X15" s="1355"/>
      <c r="Y15" s="388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883"/>
      <c r="Q16" s="1352" t="str">
        <f>B16</f>
        <v>公共配套设施</v>
      </c>
      <c r="R16" s="705" t="s">
        <v>14</v>
      </c>
      <c r="S16" s="706">
        <f>F16</f>
        <v>100</v>
      </c>
      <c r="T16" s="705" t="s">
        <v>14</v>
      </c>
      <c r="U16" s="706">
        <f>H16</f>
        <v>100</v>
      </c>
      <c r="V16" s="705" t="s">
        <v>14</v>
      </c>
      <c r="W16" s="706">
        <f>J16</f>
        <v>100</v>
      </c>
      <c r="X16" s="1355"/>
      <c r="Y16" s="388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883"/>
      <c r="Q17" s="1352"/>
      <c r="R17" s="705"/>
      <c r="S17" s="706"/>
      <c r="T17" s="705"/>
      <c r="U17" s="706"/>
      <c r="V17" s="705"/>
      <c r="W17" s="706"/>
      <c r="X17" s="1355"/>
      <c r="Y17" s="388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883"/>
      <c r="Q18" s="1352" t="str">
        <f>B18</f>
        <v>基础设施水平</v>
      </c>
      <c r="R18" s="705" t="s">
        <v>14</v>
      </c>
      <c r="S18" s="706">
        <f>F18</f>
        <v>100</v>
      </c>
      <c r="T18" s="705" t="s">
        <v>14</v>
      </c>
      <c r="U18" s="706">
        <f>H18</f>
        <v>100</v>
      </c>
      <c r="V18" s="705" t="s">
        <v>14</v>
      </c>
      <c r="W18" s="706">
        <f>J18</f>
        <v>100</v>
      </c>
      <c r="X18" s="1355"/>
      <c r="Y18" s="388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883"/>
      <c r="Q19" s="1352"/>
      <c r="R19" s="705"/>
      <c r="S19" s="706"/>
      <c r="T19" s="705"/>
      <c r="U19" s="706"/>
      <c r="V19" s="705"/>
      <c r="W19" s="706"/>
      <c r="X19" s="1355"/>
      <c r="Y19" s="388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883"/>
      <c r="Q20" s="1352" t="str">
        <f>B20</f>
        <v>自然及人文环境</v>
      </c>
      <c r="R20" s="705" t="s">
        <v>14</v>
      </c>
      <c r="S20" s="706">
        <f>F20</f>
        <v>100</v>
      </c>
      <c r="T20" s="705" t="s">
        <v>14</v>
      </c>
      <c r="U20" s="706">
        <f>H20</f>
        <v>100</v>
      </c>
      <c r="V20" s="705" t="s">
        <v>14</v>
      </c>
      <c r="W20" s="706">
        <f>J20</f>
        <v>100</v>
      </c>
      <c r="X20" s="1355"/>
      <c r="Y20" s="388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883"/>
      <c r="Q21" s="1352"/>
      <c r="R21" s="705"/>
      <c r="S21" s="706"/>
      <c r="T21" s="705"/>
      <c r="U21" s="706"/>
      <c r="V21" s="705"/>
      <c r="W21" s="706"/>
      <c r="X21" s="1355"/>
      <c r="Y21" s="388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883"/>
      <c r="Q22" s="1352" t="str">
        <f>B22</f>
        <v>楼层</v>
      </c>
      <c r="R22" s="705" t="s">
        <v>14</v>
      </c>
      <c r="S22" s="706">
        <f>F22</f>
        <v>100</v>
      </c>
      <c r="T22" s="705" t="s">
        <v>14</v>
      </c>
      <c r="U22" s="706">
        <f>H22</f>
        <v>100</v>
      </c>
      <c r="V22" s="705" t="s">
        <v>14</v>
      </c>
      <c r="W22" s="706">
        <f>J22</f>
        <v>100</v>
      </c>
      <c r="X22" s="1355"/>
      <c r="Y22" s="388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883"/>
      <c r="Q23" s="1352">
        <f>B23</f>
        <v>111</v>
      </c>
      <c r="R23" s="705" t="s">
        <v>14</v>
      </c>
      <c r="S23" s="706">
        <f>F23</f>
        <v>100</v>
      </c>
      <c r="T23" s="705" t="s">
        <v>14</v>
      </c>
      <c r="U23" s="706">
        <f>H23</f>
        <v>100</v>
      </c>
      <c r="V23" s="705" t="s">
        <v>14</v>
      </c>
      <c r="W23" s="706">
        <f>J23</f>
        <v>100</v>
      </c>
      <c r="X23" s="1355"/>
      <c r="Y23" s="388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883"/>
      <c r="Q24" s="1352">
        <f t="shared" ref="Q24:Q36" si="11">B24</f>
        <v>111</v>
      </c>
      <c r="R24" s="705" t="s">
        <v>14</v>
      </c>
      <c r="S24" s="706">
        <f>F24</f>
        <v>100</v>
      </c>
      <c r="T24" s="705" t="s">
        <v>14</v>
      </c>
      <c r="U24" s="706">
        <f>H24</f>
        <v>100</v>
      </c>
      <c r="V24" s="705" t="s">
        <v>14</v>
      </c>
      <c r="W24" s="706">
        <f>J24</f>
        <v>100</v>
      </c>
      <c r="X24" s="1355"/>
      <c r="Y24" s="388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883"/>
      <c r="Q25" s="1343">
        <f t="shared" si="11"/>
        <v>111</v>
      </c>
      <c r="R25" s="701" t="s">
        <v>14</v>
      </c>
      <c r="S25" s="702">
        <f>F25</f>
        <v>100</v>
      </c>
      <c r="T25" s="701" t="s">
        <v>14</v>
      </c>
      <c r="U25" s="702">
        <f>H25</f>
        <v>100</v>
      </c>
      <c r="V25" s="701" t="s">
        <v>14</v>
      </c>
      <c r="W25" s="702">
        <f>J25</f>
        <v>100</v>
      </c>
      <c r="X25" s="703"/>
      <c r="Y25" s="388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90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8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887"/>
      <c r="Q27" s="707" t="str">
        <f t="shared" si="11"/>
        <v>项目停车位配比</v>
      </c>
      <c r="R27" s="708" t="s">
        <v>14</v>
      </c>
      <c r="S27" s="709">
        <f t="shared" si="12"/>
        <v>100</v>
      </c>
      <c r="T27" s="708" t="s">
        <v>14</v>
      </c>
      <c r="U27" s="709">
        <f t="shared" si="13"/>
        <v>100</v>
      </c>
      <c r="V27" s="708" t="s">
        <v>14</v>
      </c>
      <c r="W27" s="709">
        <f t="shared" si="14"/>
        <v>100</v>
      </c>
      <c r="X27" s="710"/>
      <c r="Y27" s="388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887"/>
      <c r="Q28" s="1352" t="str">
        <f t="shared" si="11"/>
        <v>公共部分装修</v>
      </c>
      <c r="R28" s="705" t="s">
        <v>14</v>
      </c>
      <c r="S28" s="706">
        <f t="shared" si="12"/>
        <v>100</v>
      </c>
      <c r="T28" s="705" t="s">
        <v>14</v>
      </c>
      <c r="U28" s="706">
        <f t="shared" si="13"/>
        <v>100</v>
      </c>
      <c r="V28" s="705" t="s">
        <v>14</v>
      </c>
      <c r="W28" s="706">
        <f t="shared" si="14"/>
        <v>100</v>
      </c>
      <c r="X28" s="1355"/>
      <c r="Y28" s="388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887"/>
      <c r="Q29" s="1352" t="str">
        <f t="shared" si="11"/>
        <v>成新率</v>
      </c>
      <c r="R29" s="705" t="s">
        <v>14</v>
      </c>
      <c r="S29" s="706" t="e">
        <f t="shared" si="12"/>
        <v>#N/A</v>
      </c>
      <c r="T29" s="705" t="s">
        <v>14</v>
      </c>
      <c r="U29" s="706" t="e">
        <f t="shared" si="13"/>
        <v>#N/A</v>
      </c>
      <c r="V29" s="705" t="s">
        <v>14</v>
      </c>
      <c r="W29" s="706" t="e">
        <f t="shared" si="14"/>
        <v>#N/A</v>
      </c>
      <c r="X29" s="1355"/>
      <c r="Y29" s="388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887"/>
      <c r="Q30" s="1352" t="str">
        <f t="shared" si="11"/>
        <v>物业等级</v>
      </c>
      <c r="R30" s="705" t="s">
        <v>14</v>
      </c>
      <c r="S30" s="706">
        <f t="shared" si="12"/>
        <v>100</v>
      </c>
      <c r="T30" s="705" t="s">
        <v>14</v>
      </c>
      <c r="U30" s="706">
        <f t="shared" si="13"/>
        <v>100</v>
      </c>
      <c r="V30" s="705" t="s">
        <v>14</v>
      </c>
      <c r="W30" s="706">
        <f t="shared" si="14"/>
        <v>100</v>
      </c>
      <c r="X30" s="1355"/>
      <c r="Y30" s="388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887"/>
      <c r="Q31" s="1343" t="str">
        <f t="shared" si="11"/>
        <v>停车位面积</v>
      </c>
      <c r="R31" s="701" t="s">
        <v>14</v>
      </c>
      <c r="S31" s="702" t="e">
        <f t="shared" si="12"/>
        <v>#N/A</v>
      </c>
      <c r="T31" s="701" t="s">
        <v>14</v>
      </c>
      <c r="U31" s="702" t="e">
        <f t="shared" si="13"/>
        <v>#N/A</v>
      </c>
      <c r="V31" s="701" t="s">
        <v>14</v>
      </c>
      <c r="W31" s="702" t="e">
        <f t="shared" si="14"/>
        <v>#N/A</v>
      </c>
      <c r="X31" s="703"/>
      <c r="Y31" s="388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887" t="s">
        <v>1696</v>
      </c>
      <c r="Q32" s="1352" t="str">
        <f t="shared" si="11"/>
        <v>车位类型</v>
      </c>
      <c r="R32" s="705" t="s">
        <v>14</v>
      </c>
      <c r="S32" s="706">
        <f t="shared" si="12"/>
        <v>100</v>
      </c>
      <c r="T32" s="705" t="s">
        <v>14</v>
      </c>
      <c r="U32" s="706">
        <f t="shared" si="13"/>
        <v>100</v>
      </c>
      <c r="V32" s="705" t="s">
        <v>14</v>
      </c>
      <c r="W32" s="706">
        <f t="shared" si="14"/>
        <v>100</v>
      </c>
      <c r="X32" s="1355"/>
      <c r="Y32" s="388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887"/>
      <c r="Q33" s="1352" t="str">
        <f t="shared" si="11"/>
        <v>是否直接入户</v>
      </c>
      <c r="R33" s="705" t="s">
        <v>14</v>
      </c>
      <c r="S33" s="706">
        <f t="shared" si="12"/>
        <v>100</v>
      </c>
      <c r="T33" s="705" t="s">
        <v>14</v>
      </c>
      <c r="U33" s="706">
        <f t="shared" si="13"/>
        <v>100</v>
      </c>
      <c r="V33" s="705" t="s">
        <v>14</v>
      </c>
      <c r="W33" s="706">
        <f t="shared" si="14"/>
        <v>100</v>
      </c>
      <c r="X33" s="1355"/>
      <c r="Y33" s="388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887"/>
      <c r="Q34" s="1352">
        <f t="shared" si="11"/>
        <v>111</v>
      </c>
      <c r="R34" s="705" t="s">
        <v>14</v>
      </c>
      <c r="S34" s="706">
        <f t="shared" si="12"/>
        <v>100</v>
      </c>
      <c r="T34" s="705" t="s">
        <v>14</v>
      </c>
      <c r="U34" s="706">
        <f t="shared" si="13"/>
        <v>100</v>
      </c>
      <c r="V34" s="705" t="s">
        <v>14</v>
      </c>
      <c r="W34" s="706">
        <f t="shared" si="14"/>
        <v>100</v>
      </c>
      <c r="X34" s="1355"/>
      <c r="Y34" s="388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887"/>
      <c r="Q35" s="707">
        <f t="shared" si="11"/>
        <v>111</v>
      </c>
      <c r="R35" s="708" t="s">
        <v>14</v>
      </c>
      <c r="S35" s="709">
        <f t="shared" si="12"/>
        <v>100</v>
      </c>
      <c r="T35" s="708" t="s">
        <v>14</v>
      </c>
      <c r="U35" s="709">
        <f t="shared" si="13"/>
        <v>100</v>
      </c>
      <c r="V35" s="708" t="s">
        <v>14</v>
      </c>
      <c r="W35" s="709">
        <f t="shared" si="14"/>
        <v>100</v>
      </c>
      <c r="X35" s="710"/>
      <c r="Y35" s="388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887"/>
      <c r="Q36" s="1352">
        <f t="shared" si="11"/>
        <v>111</v>
      </c>
      <c r="R36" s="705" t="s">
        <v>14</v>
      </c>
      <c r="S36" s="706">
        <f t="shared" si="12"/>
        <v>100</v>
      </c>
      <c r="T36" s="705" t="s">
        <v>14</v>
      </c>
      <c r="U36" s="706">
        <f t="shared" si="13"/>
        <v>100</v>
      </c>
      <c r="V36" s="705" t="s">
        <v>14</v>
      </c>
      <c r="W36" s="706">
        <f t="shared" si="14"/>
        <v>100</v>
      </c>
      <c r="X36" s="1355"/>
      <c r="Y36" s="3887"/>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2"/>
      <c r="M37" s="2723"/>
      <c r="N37" s="2714"/>
      <c r="O37" s="2723"/>
      <c r="P37" s="3880" t="str">
        <f>A37</f>
        <v>成交单价</v>
      </c>
      <c r="Q37" s="3880"/>
      <c r="R37" s="3881">
        <f>E37</f>
        <v>0</v>
      </c>
      <c r="S37" s="3881"/>
      <c r="T37" s="3881">
        <f>G37</f>
        <v>0</v>
      </c>
      <c r="U37" s="3881"/>
      <c r="V37" s="3881">
        <f>I37</f>
        <v>0</v>
      </c>
      <c r="W37" s="388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880" t="str">
        <f>A38</f>
        <v>比较价值（元/平方米）</v>
      </c>
      <c r="Q38" s="3880"/>
      <c r="R38" s="3881" t="e">
        <f>IF(F1="售价",ROUND(PRODUCT(R37,AA7:AA36),0),ROUND(PRODUCT(R37,AA7:AA36),1))</f>
        <v>#DIV/0!</v>
      </c>
      <c r="S38" s="3881"/>
      <c r="T38" s="3881" t="e">
        <f>IF(F1="售价",ROUND(PRODUCT(T37,AB7:AB36),0),ROUND(PRODUCT(T37,AB7:AB36),1))</f>
        <v>#DIV/0!</v>
      </c>
      <c r="U38" s="3881"/>
      <c r="V38" s="3881" t="e">
        <f>IF(F1="售价",ROUND(PRODUCT(V37,AC7:AC36),0),ROUND(PRODUCT(V37,AC7:AC36),1))</f>
        <v>#DIV/0!</v>
      </c>
      <c r="W38" s="388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877" t="str">
        <f>A39</f>
        <v>估价对象XX用房的比较价值（楼面单价，元/平方米）</v>
      </c>
      <c r="Q39" s="3878"/>
      <c r="R39" s="3911" t="e">
        <f>IF(F1="售价",ROUND(IF(D38="简单平均",AVERAGE(R38:W38),R38*F38+T38*H38+V38*J38),0),ROUND(IF(D38="简单平均",AVERAGE(R38:V38),R38*F38+T38*H38+V38*J38),1))</f>
        <v>#DIV/0!</v>
      </c>
      <c r="S39" s="3911"/>
      <c r="T39" s="3911"/>
      <c r="U39" s="3911"/>
      <c r="V39" s="3911"/>
      <c r="W39" s="3911"/>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估价对象为北京市房地产，为所有。根据《国有土地使用证》[]，估价对象（分摊）出让国有建设用地使用权面积为0平方米，建筑面积为5605.5平方米。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估价对象为北京市房地产,属开发建设的，该项目尚在开发建设中。根据《国有土地使用证》[]，估价对象（分摊）出让国有建设用地使用权面积为0平方米，规划建筑面积为5605.5平方米。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863" t="s">
        <v>1770</v>
      </c>
      <c r="D4" s="3864"/>
      <c r="E4" s="3865" t="s">
        <v>1771</v>
      </c>
      <c r="F4" s="3866"/>
      <c r="G4" s="3863" t="s">
        <v>1772</v>
      </c>
      <c r="H4" s="3864"/>
      <c r="I4" s="3863" t="s">
        <v>1773</v>
      </c>
      <c r="J4" s="3864"/>
      <c r="K4" s="559" t="s">
        <v>1774</v>
      </c>
      <c r="L4" s="2713"/>
      <c r="M4" s="2714"/>
      <c r="N4" s="2714"/>
      <c r="O4" s="2714"/>
      <c r="P4" s="3867" t="s">
        <v>1775</v>
      </c>
      <c r="Q4" s="3868"/>
      <c r="R4" s="3850" t="s">
        <v>1771</v>
      </c>
      <c r="S4" s="3851"/>
      <c r="T4" s="3850" t="s">
        <v>1772</v>
      </c>
      <c r="U4" s="3851"/>
      <c r="V4" s="3875" t="s">
        <v>1773</v>
      </c>
      <c r="W4" s="3875"/>
      <c r="X4" s="1355"/>
      <c r="Y4" s="3850" t="s">
        <v>1775</v>
      </c>
      <c r="Z4" s="3851"/>
      <c r="AA4" s="3845" t="s">
        <v>1771</v>
      </c>
      <c r="AB4" s="3846" t="s">
        <v>1772</v>
      </c>
      <c r="AC4" s="3845" t="s">
        <v>1773</v>
      </c>
    </row>
    <row r="5" spans="1:29" ht="15">
      <c r="A5" s="358"/>
      <c r="B5" s="359"/>
      <c r="C5" s="3856" t="s">
        <v>1673</v>
      </c>
      <c r="D5" s="3857"/>
      <c r="E5" s="3854" t="s">
        <v>1674</v>
      </c>
      <c r="F5" s="3855"/>
      <c r="G5" s="3856" t="s">
        <v>1675</v>
      </c>
      <c r="H5" s="3857"/>
      <c r="I5" s="3856" t="s">
        <v>1676</v>
      </c>
      <c r="J5" s="3857"/>
      <c r="K5" s="559"/>
      <c r="L5" s="2713"/>
      <c r="M5" s="2714"/>
      <c r="N5" s="2714"/>
      <c r="O5" s="2714"/>
      <c r="P5" s="3869"/>
      <c r="Q5" s="3870"/>
      <c r="R5" s="3852"/>
      <c r="S5" s="3853"/>
      <c r="T5" s="3852"/>
      <c r="U5" s="3853"/>
      <c r="V5" s="3875"/>
      <c r="W5" s="3875"/>
      <c r="X5" s="1355"/>
      <c r="Y5" s="3852"/>
      <c r="Z5" s="3853"/>
      <c r="AA5" s="3846"/>
      <c r="AB5" s="3846"/>
      <c r="AC5" s="3846"/>
    </row>
    <row r="6" spans="1:29" ht="15.75" thickBot="1">
      <c r="A6" s="360"/>
      <c r="B6" s="361"/>
      <c r="C6" s="3858" t="s">
        <v>1677</v>
      </c>
      <c r="D6" s="3859"/>
      <c r="E6" s="3860" t="s">
        <v>1677</v>
      </c>
      <c r="F6" s="3861"/>
      <c r="G6" s="3858" t="s">
        <v>1677</v>
      </c>
      <c r="H6" s="3859"/>
      <c r="I6" s="3858" t="s">
        <v>1677</v>
      </c>
      <c r="J6" s="3859"/>
      <c r="K6" s="559" t="s">
        <v>1678</v>
      </c>
      <c r="L6" s="2713"/>
      <c r="M6" s="2714"/>
      <c r="N6" s="2714"/>
      <c r="O6" s="2714"/>
      <c r="P6" s="3871"/>
      <c r="Q6" s="3872"/>
      <c r="R6" s="3852"/>
      <c r="S6" s="3853"/>
      <c r="T6" s="3873"/>
      <c r="U6" s="3874"/>
      <c r="V6" s="3875"/>
      <c r="W6" s="3875"/>
      <c r="X6" s="1355"/>
      <c r="Y6" s="3873"/>
      <c r="Z6" s="3874"/>
      <c r="AA6" s="3847"/>
      <c r="AB6" s="3847"/>
      <c r="AC6" s="3847"/>
    </row>
    <row r="7" spans="1:29" s="108" customFormat="1" ht="15.75" thickBot="1">
      <c r="A7" s="362" t="s">
        <v>1679</v>
      </c>
      <c r="B7" s="363"/>
      <c r="C7" s="364">
        <f>'数据-取费表'!B2</f>
        <v>45056</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848" t="s">
        <v>1680</v>
      </c>
      <c r="Q7" s="3876"/>
      <c r="R7" s="701" t="s">
        <v>14</v>
      </c>
      <c r="S7" s="702">
        <f t="shared" ref="S7:S14" si="0">F7</f>
        <v>0</v>
      </c>
      <c r="T7" s="701" t="s">
        <v>14</v>
      </c>
      <c r="U7" s="702">
        <f t="shared" ref="U7:U14" si="1">H7</f>
        <v>0</v>
      </c>
      <c r="V7" s="701" t="s">
        <v>14</v>
      </c>
      <c r="W7" s="702">
        <f t="shared" ref="W7:W14" si="2">J7</f>
        <v>0</v>
      </c>
      <c r="X7" s="703"/>
      <c r="Y7" s="3848" t="s">
        <v>1680</v>
      </c>
      <c r="Z7" s="384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48" t="s">
        <v>1683</v>
      </c>
      <c r="Q8" s="3849"/>
      <c r="R8" s="701" t="s">
        <v>14</v>
      </c>
      <c r="S8" s="702">
        <f t="shared" si="0"/>
        <v>100</v>
      </c>
      <c r="T8" s="701" t="s">
        <v>14</v>
      </c>
      <c r="U8" s="702">
        <f t="shared" si="1"/>
        <v>100</v>
      </c>
      <c r="V8" s="701" t="s">
        <v>14</v>
      </c>
      <c r="W8" s="702">
        <f t="shared" si="2"/>
        <v>100</v>
      </c>
      <c r="X8" s="703"/>
      <c r="Y8" s="3848" t="s">
        <v>1683</v>
      </c>
      <c r="Z8" s="384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880" t="s">
        <v>1686</v>
      </c>
      <c r="Q9" s="1343" t="str">
        <f t="shared" ref="Q9:Q14" si="6">B9</f>
        <v>用途</v>
      </c>
      <c r="R9" s="701" t="s">
        <v>14</v>
      </c>
      <c r="S9" s="702">
        <f t="shared" si="0"/>
        <v>100</v>
      </c>
      <c r="T9" s="701" t="s">
        <v>14</v>
      </c>
      <c r="U9" s="702">
        <f t="shared" si="1"/>
        <v>100</v>
      </c>
      <c r="V9" s="701" t="s">
        <v>14</v>
      </c>
      <c r="W9" s="702">
        <f t="shared" si="2"/>
        <v>100</v>
      </c>
      <c r="X9" s="703"/>
      <c r="Y9" s="3795"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880"/>
      <c r="Q10" s="1343" t="str">
        <f t="shared" si="6"/>
        <v>土地使用年限（年）</v>
      </c>
      <c r="R10" s="701" t="s">
        <v>14</v>
      </c>
      <c r="S10" s="702">
        <f t="shared" si="0"/>
        <v>100</v>
      </c>
      <c r="T10" s="701" t="s">
        <v>14</v>
      </c>
      <c r="U10" s="702">
        <f t="shared" si="1"/>
        <v>100</v>
      </c>
      <c r="V10" s="701" t="s">
        <v>14</v>
      </c>
      <c r="W10" s="702">
        <f t="shared" si="2"/>
        <v>100</v>
      </c>
      <c r="X10" s="703"/>
      <c r="Y10" s="379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880"/>
      <c r="Q11" s="1343">
        <f t="shared" si="6"/>
        <v>111</v>
      </c>
      <c r="R11" s="701" t="s">
        <v>14</v>
      </c>
      <c r="S11" s="702">
        <f t="shared" si="0"/>
        <v>100</v>
      </c>
      <c r="T11" s="701" t="s">
        <v>14</v>
      </c>
      <c r="U11" s="702">
        <f t="shared" si="1"/>
        <v>100</v>
      </c>
      <c r="V11" s="701" t="s">
        <v>14</v>
      </c>
      <c r="W11" s="702">
        <f t="shared" si="2"/>
        <v>100</v>
      </c>
      <c r="X11" s="703"/>
      <c r="Y11" s="379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880"/>
      <c r="Q12" s="1343">
        <f t="shared" si="6"/>
        <v>111</v>
      </c>
      <c r="R12" s="701" t="s">
        <v>14</v>
      </c>
      <c r="S12" s="702">
        <f t="shared" si="0"/>
        <v>100</v>
      </c>
      <c r="T12" s="701" t="s">
        <v>14</v>
      </c>
      <c r="U12" s="702">
        <f t="shared" si="1"/>
        <v>100</v>
      </c>
      <c r="V12" s="701" t="s">
        <v>14</v>
      </c>
      <c r="W12" s="702">
        <f t="shared" si="2"/>
        <v>100</v>
      </c>
      <c r="X12" s="703"/>
      <c r="Y12" s="379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880"/>
      <c r="Q13" s="1343">
        <f t="shared" si="6"/>
        <v>111</v>
      </c>
      <c r="R13" s="701" t="s">
        <v>14</v>
      </c>
      <c r="S13" s="702">
        <f t="shared" si="0"/>
        <v>100</v>
      </c>
      <c r="T13" s="701" t="s">
        <v>14</v>
      </c>
      <c r="U13" s="702">
        <f t="shared" si="1"/>
        <v>100</v>
      </c>
      <c r="V13" s="701" t="s">
        <v>14</v>
      </c>
      <c r="W13" s="702">
        <f t="shared" si="2"/>
        <v>100</v>
      </c>
      <c r="X13" s="703"/>
      <c r="Y13" s="379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882" t="s">
        <v>1691</v>
      </c>
      <c r="Q14" s="1352" t="str">
        <f t="shared" si="6"/>
        <v>交通便捷度</v>
      </c>
      <c r="R14" s="705" t="s">
        <v>14</v>
      </c>
      <c r="S14" s="706">
        <f t="shared" si="0"/>
        <v>100</v>
      </c>
      <c r="T14" s="705" t="s">
        <v>14</v>
      </c>
      <c r="U14" s="706">
        <f t="shared" si="1"/>
        <v>100</v>
      </c>
      <c r="V14" s="705" t="s">
        <v>14</v>
      </c>
      <c r="W14" s="706">
        <f t="shared" si="2"/>
        <v>100</v>
      </c>
      <c r="X14" s="1355"/>
      <c r="Y14" s="388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883"/>
      <c r="Q15" s="1352"/>
      <c r="R15" s="705"/>
      <c r="S15" s="706"/>
      <c r="T15" s="705"/>
      <c r="U15" s="706"/>
      <c r="V15" s="705"/>
      <c r="W15" s="706"/>
      <c r="X15" s="1355"/>
      <c r="Y15" s="388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883"/>
      <c r="Q16" s="1352" t="str">
        <f>B16</f>
        <v>公共配套设施</v>
      </c>
      <c r="R16" s="705" t="s">
        <v>14</v>
      </c>
      <c r="S16" s="706">
        <f>F16</f>
        <v>100</v>
      </c>
      <c r="T16" s="705" t="s">
        <v>14</v>
      </c>
      <c r="U16" s="706">
        <f>H16</f>
        <v>100</v>
      </c>
      <c r="V16" s="705" t="s">
        <v>14</v>
      </c>
      <c r="W16" s="706">
        <f>J16</f>
        <v>100</v>
      </c>
      <c r="X16" s="1355"/>
      <c r="Y16" s="388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883"/>
      <c r="Q17" s="1352"/>
      <c r="R17" s="705"/>
      <c r="S17" s="706"/>
      <c r="T17" s="705"/>
      <c r="U17" s="706"/>
      <c r="V17" s="705"/>
      <c r="W17" s="706"/>
      <c r="X17" s="1355"/>
      <c r="Y17" s="388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883"/>
      <c r="Q18" s="1352" t="str">
        <f>B18</f>
        <v>基础设施水平</v>
      </c>
      <c r="R18" s="705" t="s">
        <v>14</v>
      </c>
      <c r="S18" s="706">
        <f>F18</f>
        <v>100</v>
      </c>
      <c r="T18" s="705" t="s">
        <v>14</v>
      </c>
      <c r="U18" s="706">
        <f>H18</f>
        <v>100</v>
      </c>
      <c r="V18" s="705" t="s">
        <v>14</v>
      </c>
      <c r="W18" s="706">
        <f>J18</f>
        <v>100</v>
      </c>
      <c r="X18" s="1355"/>
      <c r="Y18" s="388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883"/>
      <c r="Q19" s="1352"/>
      <c r="R19" s="705"/>
      <c r="S19" s="706"/>
      <c r="T19" s="705"/>
      <c r="U19" s="706"/>
      <c r="V19" s="705"/>
      <c r="W19" s="706"/>
      <c r="X19" s="1355"/>
      <c r="Y19" s="388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883"/>
      <c r="Q20" s="1352" t="str">
        <f>B20</f>
        <v>自然及人文环境</v>
      </c>
      <c r="R20" s="705" t="s">
        <v>14</v>
      </c>
      <c r="S20" s="706">
        <f>F20</f>
        <v>100</v>
      </c>
      <c r="T20" s="705" t="s">
        <v>14</v>
      </c>
      <c r="U20" s="706">
        <f>H20</f>
        <v>100</v>
      </c>
      <c r="V20" s="705" t="s">
        <v>14</v>
      </c>
      <c r="W20" s="706">
        <f>J20</f>
        <v>100</v>
      </c>
      <c r="X20" s="1355"/>
      <c r="Y20" s="388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883"/>
      <c r="Q21" s="1352"/>
      <c r="R21" s="705"/>
      <c r="S21" s="706"/>
      <c r="T21" s="705"/>
      <c r="U21" s="706"/>
      <c r="V21" s="705"/>
      <c r="W21" s="706"/>
      <c r="X21" s="1355"/>
      <c r="Y21" s="388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883"/>
      <c r="Q22" s="1352" t="str">
        <f>B22</f>
        <v>楼层</v>
      </c>
      <c r="R22" s="705" t="s">
        <v>14</v>
      </c>
      <c r="S22" s="706">
        <f>F22</f>
        <v>100</v>
      </c>
      <c r="T22" s="705" t="s">
        <v>14</v>
      </c>
      <c r="U22" s="706">
        <f>H22</f>
        <v>100</v>
      </c>
      <c r="V22" s="705" t="s">
        <v>14</v>
      </c>
      <c r="W22" s="706">
        <f>J22</f>
        <v>100</v>
      </c>
      <c r="X22" s="1355"/>
      <c r="Y22" s="388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883"/>
      <c r="Q23" s="1352">
        <f>B23</f>
        <v>111</v>
      </c>
      <c r="R23" s="705" t="s">
        <v>14</v>
      </c>
      <c r="S23" s="706">
        <f>F23</f>
        <v>100</v>
      </c>
      <c r="T23" s="705" t="s">
        <v>14</v>
      </c>
      <c r="U23" s="706">
        <f>H23</f>
        <v>100</v>
      </c>
      <c r="V23" s="705" t="s">
        <v>14</v>
      </c>
      <c r="W23" s="706">
        <f>J23</f>
        <v>100</v>
      </c>
      <c r="X23" s="1355"/>
      <c r="Y23" s="388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883"/>
      <c r="Q24" s="1352">
        <f t="shared" ref="Q24:Q34" si="11">B24</f>
        <v>111</v>
      </c>
      <c r="R24" s="705" t="s">
        <v>14</v>
      </c>
      <c r="S24" s="706">
        <f>F24</f>
        <v>100</v>
      </c>
      <c r="T24" s="705" t="s">
        <v>14</v>
      </c>
      <c r="U24" s="706">
        <f>H24</f>
        <v>100</v>
      </c>
      <c r="V24" s="705" t="s">
        <v>14</v>
      </c>
      <c r="W24" s="706">
        <f>J24</f>
        <v>100</v>
      </c>
      <c r="X24" s="1355"/>
      <c r="Y24" s="388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883"/>
      <c r="Q25" s="1343">
        <f t="shared" si="11"/>
        <v>111</v>
      </c>
      <c r="R25" s="701" t="s">
        <v>14</v>
      </c>
      <c r="S25" s="702">
        <f>F25</f>
        <v>100</v>
      </c>
      <c r="T25" s="701" t="s">
        <v>14</v>
      </c>
      <c r="U25" s="702">
        <f>H25</f>
        <v>100</v>
      </c>
      <c r="V25" s="701" t="s">
        <v>14</v>
      </c>
      <c r="W25" s="702">
        <f>J25</f>
        <v>100</v>
      </c>
      <c r="X25" s="703"/>
      <c r="Y25" s="388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90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8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887"/>
      <c r="Q27" s="707" t="str">
        <f t="shared" si="11"/>
        <v>成新率</v>
      </c>
      <c r="R27" s="708" t="s">
        <v>14</v>
      </c>
      <c r="S27" s="709" t="e">
        <f t="shared" si="12"/>
        <v>#N/A</v>
      </c>
      <c r="T27" s="708" t="s">
        <v>14</v>
      </c>
      <c r="U27" s="709" t="e">
        <f t="shared" si="13"/>
        <v>#N/A</v>
      </c>
      <c r="V27" s="708" t="s">
        <v>14</v>
      </c>
      <c r="W27" s="709" t="e">
        <f t="shared" si="14"/>
        <v>#N/A</v>
      </c>
      <c r="X27" s="710"/>
      <c r="Y27" s="388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887"/>
      <c r="Q28" s="1352" t="str">
        <f t="shared" si="11"/>
        <v>物业等级</v>
      </c>
      <c r="R28" s="705" t="s">
        <v>14</v>
      </c>
      <c r="S28" s="706">
        <f t="shared" si="12"/>
        <v>100</v>
      </c>
      <c r="T28" s="705" t="s">
        <v>14</v>
      </c>
      <c r="U28" s="706">
        <f t="shared" si="13"/>
        <v>100</v>
      </c>
      <c r="V28" s="705" t="s">
        <v>14</v>
      </c>
      <c r="W28" s="706">
        <f t="shared" si="14"/>
        <v>100</v>
      </c>
      <c r="X28" s="1355"/>
      <c r="Y28" s="388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887"/>
      <c r="Q29" s="1352" t="str">
        <f t="shared" si="11"/>
        <v>有无电梯</v>
      </c>
      <c r="R29" s="705" t="s">
        <v>14</v>
      </c>
      <c r="S29" s="706">
        <f t="shared" si="12"/>
        <v>100</v>
      </c>
      <c r="T29" s="705" t="s">
        <v>14</v>
      </c>
      <c r="U29" s="706">
        <f t="shared" si="13"/>
        <v>100</v>
      </c>
      <c r="V29" s="705" t="s">
        <v>14</v>
      </c>
      <c r="W29" s="706">
        <f t="shared" si="14"/>
        <v>100</v>
      </c>
      <c r="X29" s="1355"/>
      <c r="Y29" s="388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887"/>
      <c r="Q30" s="1352" t="str">
        <f t="shared" si="11"/>
        <v>建筑面积</v>
      </c>
      <c r="R30" s="705" t="s">
        <v>14</v>
      </c>
      <c r="S30" s="706" t="e">
        <f t="shared" si="12"/>
        <v>#N/A</v>
      </c>
      <c r="T30" s="705" t="s">
        <v>14</v>
      </c>
      <c r="U30" s="706" t="e">
        <f t="shared" si="13"/>
        <v>#N/A</v>
      </c>
      <c r="V30" s="705" t="s">
        <v>14</v>
      </c>
      <c r="W30" s="706" t="e">
        <f t="shared" si="14"/>
        <v>#N/A</v>
      </c>
      <c r="X30" s="1355"/>
      <c r="Y30" s="388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887"/>
      <c r="Q31" s="1343" t="str">
        <f t="shared" si="11"/>
        <v>是否封闭</v>
      </c>
      <c r="R31" s="701" t="s">
        <v>14</v>
      </c>
      <c r="S31" s="702">
        <f t="shared" si="12"/>
        <v>100</v>
      </c>
      <c r="T31" s="701" t="s">
        <v>14</v>
      </c>
      <c r="U31" s="702">
        <f t="shared" si="13"/>
        <v>100</v>
      </c>
      <c r="V31" s="701" t="s">
        <v>14</v>
      </c>
      <c r="W31" s="702">
        <f t="shared" si="14"/>
        <v>100</v>
      </c>
      <c r="X31" s="703"/>
      <c r="Y31" s="388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887" t="s">
        <v>1696</v>
      </c>
      <c r="Q32" s="1352">
        <f t="shared" si="11"/>
        <v>111</v>
      </c>
      <c r="R32" s="705" t="s">
        <v>14</v>
      </c>
      <c r="S32" s="706">
        <f t="shared" si="12"/>
        <v>100</v>
      </c>
      <c r="T32" s="705" t="s">
        <v>14</v>
      </c>
      <c r="U32" s="706">
        <f t="shared" si="13"/>
        <v>100</v>
      </c>
      <c r="V32" s="705" t="s">
        <v>14</v>
      </c>
      <c r="W32" s="706">
        <f t="shared" si="14"/>
        <v>100</v>
      </c>
      <c r="X32" s="1355"/>
      <c r="Y32" s="388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887"/>
      <c r="Q33" s="1352">
        <f t="shared" si="11"/>
        <v>111</v>
      </c>
      <c r="R33" s="705" t="s">
        <v>14</v>
      </c>
      <c r="S33" s="706">
        <f t="shared" si="12"/>
        <v>100</v>
      </c>
      <c r="T33" s="705" t="s">
        <v>14</v>
      </c>
      <c r="U33" s="706">
        <f t="shared" si="13"/>
        <v>100</v>
      </c>
      <c r="V33" s="705" t="s">
        <v>14</v>
      </c>
      <c r="W33" s="706">
        <f t="shared" si="14"/>
        <v>100</v>
      </c>
      <c r="X33" s="1355"/>
      <c r="Y33" s="388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887"/>
      <c r="Q34" s="1352">
        <f t="shared" si="11"/>
        <v>111</v>
      </c>
      <c r="R34" s="705" t="s">
        <v>14</v>
      </c>
      <c r="S34" s="706">
        <f t="shared" si="12"/>
        <v>100</v>
      </c>
      <c r="T34" s="705" t="s">
        <v>14</v>
      </c>
      <c r="U34" s="706">
        <f t="shared" si="13"/>
        <v>100</v>
      </c>
      <c r="V34" s="705" t="s">
        <v>14</v>
      </c>
      <c r="W34" s="706">
        <f t="shared" si="14"/>
        <v>100</v>
      </c>
      <c r="X34" s="1355"/>
      <c r="Y34" s="388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880" t="str">
        <f>A35</f>
        <v>成交单价（元/平方米）</v>
      </c>
      <c r="Q35" s="3880"/>
      <c r="R35" s="3881">
        <f>E35</f>
        <v>0</v>
      </c>
      <c r="S35" s="3881"/>
      <c r="T35" s="3881">
        <f>G35</f>
        <v>0</v>
      </c>
      <c r="U35" s="3881"/>
      <c r="V35" s="3881">
        <f>I35</f>
        <v>0</v>
      </c>
      <c r="W35" s="388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880" t="str">
        <f>A36</f>
        <v>比较价值（元/平方米）</v>
      </c>
      <c r="Q36" s="3880"/>
      <c r="R36" s="3881" t="e">
        <f>IF(F1="售价",ROUND(PRODUCT(R35,AA7:AA34),0),ROUND(PRODUCT(R35,AA7:AA34),1))</f>
        <v>#DIV/0!</v>
      </c>
      <c r="S36" s="3881"/>
      <c r="T36" s="3881" t="e">
        <f>IF(F1="售价",ROUND(PRODUCT(T35,AB7:AB34),0),ROUND(PRODUCT(T35,AB7:AB34),1))</f>
        <v>#DIV/0!</v>
      </c>
      <c r="U36" s="3881"/>
      <c r="V36" s="3881" t="e">
        <f>IF(F1="售价",ROUND(PRODUCT(V35,AC7:AC34),0),ROUND(PRODUCT(V35,AC7:AC34),1))</f>
        <v>#DIV/0!</v>
      </c>
      <c r="W36" s="388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877" t="str">
        <f>A37</f>
        <v>估价对象XX用房的比较价值（楼面单价，元/平方米）</v>
      </c>
      <c r="Q37" s="3878"/>
      <c r="R37" s="3911" t="e">
        <f>IF(F1="售价",ROUND(IF(D36="简单平均",AVERAGE(R36:W36),R36*F36+T36*H36+V36*J36),0),ROUND(IF(D36="简单平均",AVERAGE(R36:V36),R36*F36+T36*H36+V36*J36),1))</f>
        <v>#DIV/0!</v>
      </c>
      <c r="S37" s="3911"/>
      <c r="T37" s="3911"/>
      <c r="U37" s="3911"/>
      <c r="V37" s="3911"/>
      <c r="W37" s="3911"/>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863" t="s">
        <v>1770</v>
      </c>
      <c r="D4" s="3864"/>
      <c r="E4" s="3865" t="s">
        <v>1771</v>
      </c>
      <c r="F4" s="3866"/>
      <c r="G4" s="3863" t="s">
        <v>1772</v>
      </c>
      <c r="H4" s="3864"/>
      <c r="I4" s="3863" t="s">
        <v>1773</v>
      </c>
      <c r="J4" s="3864"/>
      <c r="K4" s="559" t="s">
        <v>1774</v>
      </c>
      <c r="L4" s="2713"/>
      <c r="M4" s="2714"/>
      <c r="N4" s="2714"/>
      <c r="O4" s="2714"/>
      <c r="P4" s="3867" t="s">
        <v>1775</v>
      </c>
      <c r="Q4" s="3868"/>
      <c r="R4" s="3850" t="s">
        <v>1771</v>
      </c>
      <c r="S4" s="3851"/>
      <c r="T4" s="3850" t="s">
        <v>1772</v>
      </c>
      <c r="U4" s="3851"/>
      <c r="V4" s="3875" t="s">
        <v>1773</v>
      </c>
      <c r="W4" s="3875"/>
      <c r="X4" s="1355"/>
      <c r="Y4" s="3850" t="s">
        <v>1775</v>
      </c>
      <c r="Z4" s="3851"/>
      <c r="AA4" s="3845" t="s">
        <v>1771</v>
      </c>
      <c r="AB4" s="3846" t="s">
        <v>1772</v>
      </c>
      <c r="AC4" s="3845" t="s">
        <v>1773</v>
      </c>
    </row>
    <row r="5" spans="1:30" ht="15">
      <c r="A5" s="358"/>
      <c r="B5" s="359"/>
      <c r="C5" s="3856" t="s">
        <v>1673</v>
      </c>
      <c r="D5" s="3857"/>
      <c r="E5" s="3854" t="s">
        <v>1674</v>
      </c>
      <c r="F5" s="3855"/>
      <c r="G5" s="3856" t="s">
        <v>1675</v>
      </c>
      <c r="H5" s="3857"/>
      <c r="I5" s="3856" t="s">
        <v>1676</v>
      </c>
      <c r="J5" s="3857"/>
      <c r="K5" s="559"/>
      <c r="L5" s="2713"/>
      <c r="M5" s="2714"/>
      <c r="N5" s="2714"/>
      <c r="O5" s="2714"/>
      <c r="P5" s="3869"/>
      <c r="Q5" s="3870"/>
      <c r="R5" s="3852"/>
      <c r="S5" s="3853"/>
      <c r="T5" s="3852"/>
      <c r="U5" s="3853"/>
      <c r="V5" s="3875"/>
      <c r="W5" s="3875"/>
      <c r="X5" s="1355"/>
      <c r="Y5" s="3852"/>
      <c r="Z5" s="3853"/>
      <c r="AA5" s="3846"/>
      <c r="AB5" s="3846"/>
      <c r="AC5" s="3846"/>
    </row>
    <row r="6" spans="1:30" ht="15.75" thickBot="1">
      <c r="A6" s="360"/>
      <c r="B6" s="361"/>
      <c r="C6" s="3858" t="s">
        <v>1677</v>
      </c>
      <c r="D6" s="3859"/>
      <c r="E6" s="3860" t="s">
        <v>1677</v>
      </c>
      <c r="F6" s="3861"/>
      <c r="G6" s="3858" t="s">
        <v>1677</v>
      </c>
      <c r="H6" s="3859"/>
      <c r="I6" s="3858" t="s">
        <v>1677</v>
      </c>
      <c r="J6" s="3859"/>
      <c r="K6" s="559" t="s">
        <v>1678</v>
      </c>
      <c r="L6" s="2713"/>
      <c r="M6" s="2714"/>
      <c r="N6" s="2714"/>
      <c r="O6" s="2714"/>
      <c r="P6" s="3871"/>
      <c r="Q6" s="3872"/>
      <c r="R6" s="3852"/>
      <c r="S6" s="3853"/>
      <c r="T6" s="3873"/>
      <c r="U6" s="3874"/>
      <c r="V6" s="3875"/>
      <c r="W6" s="3875"/>
      <c r="X6" s="1355"/>
      <c r="Y6" s="3873"/>
      <c r="Z6" s="3874"/>
      <c r="AA6" s="3847"/>
      <c r="AB6" s="3847"/>
      <c r="AC6" s="3847"/>
    </row>
    <row r="7" spans="1:30" s="108" customFormat="1" ht="15.75" thickBot="1">
      <c r="A7" s="362" t="s">
        <v>1679</v>
      </c>
      <c r="B7" s="363"/>
      <c r="C7" s="364">
        <f>'数据-取费表'!B2</f>
        <v>45056</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848" t="s">
        <v>1680</v>
      </c>
      <c r="Q7" s="3876"/>
      <c r="R7" s="701" t="s">
        <v>14</v>
      </c>
      <c r="S7" s="702">
        <f t="shared" ref="S7:S15" si="0">F7</f>
        <v>0</v>
      </c>
      <c r="T7" s="701" t="s">
        <v>14</v>
      </c>
      <c r="U7" s="702">
        <f t="shared" ref="U7:U15" si="1">H7</f>
        <v>0</v>
      </c>
      <c r="V7" s="701" t="s">
        <v>14</v>
      </c>
      <c r="W7" s="702">
        <f t="shared" ref="W7:W15" si="2">J7</f>
        <v>0</v>
      </c>
      <c r="X7" s="703"/>
      <c r="Y7" s="3848" t="s">
        <v>1680</v>
      </c>
      <c r="Z7" s="384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48" t="s">
        <v>1683</v>
      </c>
      <c r="Q8" s="3849"/>
      <c r="R8" s="701" t="s">
        <v>14</v>
      </c>
      <c r="S8" s="702">
        <f t="shared" si="0"/>
        <v>0</v>
      </c>
      <c r="T8" s="701" t="s">
        <v>14</v>
      </c>
      <c r="U8" s="702">
        <f t="shared" si="1"/>
        <v>0</v>
      </c>
      <c r="V8" s="701" t="s">
        <v>14</v>
      </c>
      <c r="W8" s="702">
        <f t="shared" si="2"/>
        <v>0</v>
      </c>
      <c r="X8" s="703"/>
      <c r="Y8" s="3848" t="s">
        <v>1683</v>
      </c>
      <c r="Z8" s="384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880" t="s">
        <v>1686</v>
      </c>
      <c r="Q9" s="1343" t="str">
        <f t="shared" ref="Q9:Q15" si="6">B9</f>
        <v>用途</v>
      </c>
      <c r="R9" s="701" t="s">
        <v>14</v>
      </c>
      <c r="S9" s="702">
        <f t="shared" si="0"/>
        <v>100</v>
      </c>
      <c r="T9" s="701" t="s">
        <v>14</v>
      </c>
      <c r="U9" s="702">
        <f t="shared" si="1"/>
        <v>100</v>
      </c>
      <c r="V9" s="701" t="s">
        <v>14</v>
      </c>
      <c r="W9" s="702">
        <f t="shared" si="2"/>
        <v>100</v>
      </c>
      <c r="X9" s="703"/>
      <c r="Y9" s="379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7"/>
      <c r="M10" s="2718"/>
      <c r="N10" s="2718"/>
      <c r="O10" s="2771"/>
      <c r="P10" s="3880"/>
      <c r="Q10" s="1343" t="str">
        <f t="shared" si="6"/>
        <v>土地使用年限（年）</v>
      </c>
      <c r="R10" s="701" t="s">
        <v>14</v>
      </c>
      <c r="S10" s="702">
        <f t="shared" si="0"/>
        <v>114</v>
      </c>
      <c r="T10" s="701" t="s">
        <v>14</v>
      </c>
      <c r="U10" s="702">
        <f t="shared" si="1"/>
        <v>114</v>
      </c>
      <c r="V10" s="701" t="s">
        <v>14</v>
      </c>
      <c r="W10" s="702">
        <f t="shared" si="2"/>
        <v>114</v>
      </c>
      <c r="X10" s="703"/>
      <c r="Y10" s="3795"/>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880"/>
      <c r="Q11" s="1343" t="str">
        <f t="shared" si="6"/>
        <v>容积率</v>
      </c>
      <c r="R11" s="701" t="s">
        <v>14</v>
      </c>
      <c r="S11" s="702" t="e">
        <f t="shared" si="0"/>
        <v>#N/A</v>
      </c>
      <c r="T11" s="701" t="s">
        <v>14</v>
      </c>
      <c r="U11" s="702" t="e">
        <f t="shared" si="1"/>
        <v>#N/A</v>
      </c>
      <c r="V11" s="701" t="s">
        <v>14</v>
      </c>
      <c r="W11" s="702" t="e">
        <f t="shared" si="2"/>
        <v>#N/A</v>
      </c>
      <c r="X11" s="703"/>
      <c r="Y11" s="379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880"/>
      <c r="Q12" s="1343" t="str">
        <f t="shared" si="6"/>
        <v>配建</v>
      </c>
      <c r="R12" s="701" t="s">
        <v>14</v>
      </c>
      <c r="S12" s="702">
        <f t="shared" si="0"/>
        <v>100</v>
      </c>
      <c r="T12" s="701" t="s">
        <v>14</v>
      </c>
      <c r="U12" s="702">
        <f t="shared" si="1"/>
        <v>100</v>
      </c>
      <c r="V12" s="701" t="s">
        <v>14</v>
      </c>
      <c r="W12" s="702">
        <f t="shared" si="2"/>
        <v>100</v>
      </c>
      <c r="X12" s="703"/>
      <c r="Y12" s="379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880"/>
      <c r="Q13" s="1343">
        <f t="shared" si="6"/>
        <v>111</v>
      </c>
      <c r="R13" s="701" t="s">
        <v>14</v>
      </c>
      <c r="S13" s="702">
        <f t="shared" si="0"/>
        <v>100</v>
      </c>
      <c r="T13" s="701" t="s">
        <v>14</v>
      </c>
      <c r="U13" s="702">
        <f t="shared" si="1"/>
        <v>100</v>
      </c>
      <c r="V13" s="701" t="s">
        <v>14</v>
      </c>
      <c r="W13" s="702">
        <f t="shared" si="2"/>
        <v>100</v>
      </c>
      <c r="X13" s="703"/>
      <c r="Y13" s="379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880"/>
      <c r="Q14" s="1343">
        <f t="shared" si="6"/>
        <v>111</v>
      </c>
      <c r="R14" s="701" t="s">
        <v>14</v>
      </c>
      <c r="S14" s="702">
        <f t="shared" si="0"/>
        <v>100</v>
      </c>
      <c r="T14" s="701" t="s">
        <v>14</v>
      </c>
      <c r="U14" s="702">
        <f t="shared" si="1"/>
        <v>100</v>
      </c>
      <c r="V14" s="701" t="s">
        <v>14</v>
      </c>
      <c r="W14" s="702">
        <f t="shared" si="2"/>
        <v>100</v>
      </c>
      <c r="X14" s="703"/>
      <c r="Y14" s="379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882" t="s">
        <v>1691</v>
      </c>
      <c r="Q15" s="1352" t="str">
        <f t="shared" si="6"/>
        <v>居住社区成熟度</v>
      </c>
      <c r="R15" s="705" t="s">
        <v>14</v>
      </c>
      <c r="S15" s="706">
        <f t="shared" si="0"/>
        <v>100</v>
      </c>
      <c r="T15" s="705" t="s">
        <v>14</v>
      </c>
      <c r="U15" s="706">
        <f t="shared" si="1"/>
        <v>100</v>
      </c>
      <c r="V15" s="705" t="s">
        <v>14</v>
      </c>
      <c r="W15" s="706">
        <f t="shared" si="2"/>
        <v>100</v>
      </c>
      <c r="X15" s="1355"/>
      <c r="Y15" s="388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883"/>
      <c r="Q16" s="1352"/>
      <c r="R16" s="705"/>
      <c r="S16" s="706"/>
      <c r="T16" s="705"/>
      <c r="U16" s="706"/>
      <c r="V16" s="705"/>
      <c r="W16" s="706"/>
      <c r="X16" s="1355"/>
      <c r="Y16" s="388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883"/>
      <c r="Q17" s="1352" t="str">
        <f>B17</f>
        <v>商业繁华度</v>
      </c>
      <c r="R17" s="705" t="s">
        <v>14</v>
      </c>
      <c r="S17" s="706">
        <f>F17</f>
        <v>100</v>
      </c>
      <c r="T17" s="705" t="s">
        <v>14</v>
      </c>
      <c r="U17" s="706">
        <f>H17</f>
        <v>100</v>
      </c>
      <c r="V17" s="705" t="s">
        <v>14</v>
      </c>
      <c r="W17" s="706">
        <f>J17</f>
        <v>100</v>
      </c>
      <c r="X17" s="1355"/>
      <c r="Y17" s="388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883"/>
      <c r="Q18" s="1352"/>
      <c r="R18" s="705"/>
      <c r="S18" s="706"/>
      <c r="T18" s="705"/>
      <c r="U18" s="706"/>
      <c r="V18" s="705"/>
      <c r="W18" s="706"/>
      <c r="X18" s="1355"/>
      <c r="Y18" s="388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883"/>
      <c r="Q19" s="1352" t="str">
        <f>B19</f>
        <v>办公集聚程度</v>
      </c>
      <c r="R19" s="705" t="s">
        <v>14</v>
      </c>
      <c r="S19" s="706">
        <f>F19</f>
        <v>100</v>
      </c>
      <c r="T19" s="705" t="s">
        <v>14</v>
      </c>
      <c r="U19" s="706">
        <f>H19</f>
        <v>100</v>
      </c>
      <c r="V19" s="705" t="s">
        <v>14</v>
      </c>
      <c r="W19" s="706">
        <f>J19</f>
        <v>100</v>
      </c>
      <c r="X19" s="1355"/>
      <c r="Y19" s="388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883"/>
      <c r="Q20" s="1352"/>
      <c r="R20" s="705"/>
      <c r="S20" s="706"/>
      <c r="T20" s="705"/>
      <c r="U20" s="706"/>
      <c r="V20" s="705"/>
      <c r="W20" s="706"/>
      <c r="X20" s="1355"/>
      <c r="Y20" s="388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883"/>
      <c r="Q21" s="1352" t="str">
        <f>B21</f>
        <v>交通便捷度</v>
      </c>
      <c r="R21" s="705" t="s">
        <v>14</v>
      </c>
      <c r="S21" s="706">
        <f>F21</f>
        <v>100</v>
      </c>
      <c r="T21" s="705" t="s">
        <v>14</v>
      </c>
      <c r="U21" s="706">
        <f>H21</f>
        <v>100</v>
      </c>
      <c r="V21" s="705" t="s">
        <v>14</v>
      </c>
      <c r="W21" s="706">
        <f>J21</f>
        <v>100</v>
      </c>
      <c r="X21" s="1355"/>
      <c r="Y21" s="388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883"/>
      <c r="Q22" s="1352"/>
      <c r="R22" s="705"/>
      <c r="S22" s="706"/>
      <c r="T22" s="705"/>
      <c r="U22" s="706"/>
      <c r="V22" s="705"/>
      <c r="W22" s="706"/>
      <c r="X22" s="1355"/>
      <c r="Y22" s="388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883"/>
      <c r="Q23" s="1352" t="str">
        <f t="shared" ref="Q23:Q37" si="8">B23</f>
        <v>区域土地利用方向</v>
      </c>
      <c r="R23" s="705" t="s">
        <v>14</v>
      </c>
      <c r="S23" s="706">
        <f>F23</f>
        <v>100</v>
      </c>
      <c r="T23" s="705" t="s">
        <v>14</v>
      </c>
      <c r="U23" s="706">
        <f>H23</f>
        <v>100</v>
      </c>
      <c r="V23" s="705" t="s">
        <v>14</v>
      </c>
      <c r="W23" s="706">
        <f>J23</f>
        <v>100</v>
      </c>
      <c r="X23" s="1355"/>
      <c r="Y23" s="388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883"/>
      <c r="Q24" s="1352"/>
      <c r="R24" s="705"/>
      <c r="S24" s="706"/>
      <c r="T24" s="705"/>
      <c r="U24" s="706"/>
      <c r="V24" s="705"/>
      <c r="W24" s="706"/>
      <c r="X24" s="1355"/>
      <c r="Y24" s="388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883"/>
      <c r="Q25" s="1352" t="str">
        <f t="shared" si="8"/>
        <v>自然及人文环境状况</v>
      </c>
      <c r="R25" s="705" t="s">
        <v>14</v>
      </c>
      <c r="S25" s="706">
        <f>F25</f>
        <v>100</v>
      </c>
      <c r="T25" s="705" t="s">
        <v>14</v>
      </c>
      <c r="U25" s="706">
        <f>H25</f>
        <v>100</v>
      </c>
      <c r="V25" s="705" t="s">
        <v>14</v>
      </c>
      <c r="W25" s="706">
        <f>J25</f>
        <v>100</v>
      </c>
      <c r="X25" s="1355"/>
      <c r="Y25" s="388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883"/>
      <c r="Q26" s="1352"/>
      <c r="R26" s="705"/>
      <c r="S26" s="706"/>
      <c r="T26" s="705"/>
      <c r="U26" s="706"/>
      <c r="V26" s="705"/>
      <c r="W26" s="706"/>
      <c r="X26" s="1355"/>
      <c r="Y26" s="388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883"/>
      <c r="Q27" s="1343" t="str">
        <f t="shared" si="8"/>
        <v>公共配套设施</v>
      </c>
      <c r="R27" s="701" t="s">
        <v>14</v>
      </c>
      <c r="S27" s="702">
        <f>F27</f>
        <v>100</v>
      </c>
      <c r="T27" s="701" t="s">
        <v>14</v>
      </c>
      <c r="U27" s="702">
        <f>H27</f>
        <v>100</v>
      </c>
      <c r="V27" s="701" t="s">
        <v>14</v>
      </c>
      <c r="W27" s="702">
        <f>J27</f>
        <v>100</v>
      </c>
      <c r="X27" s="703"/>
      <c r="Y27" s="388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883"/>
      <c r="Q28" s="1343"/>
      <c r="R28" s="701"/>
      <c r="S28" s="702"/>
      <c r="T28" s="701"/>
      <c r="U28" s="702"/>
      <c r="V28" s="701"/>
      <c r="W28" s="702"/>
      <c r="X28" s="703"/>
      <c r="Y28" s="388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883"/>
      <c r="Q29" s="1343" t="str">
        <f t="shared" ref="Q29" si="9">B29</f>
        <v>基础设施水平</v>
      </c>
      <c r="R29" s="701" t="s">
        <v>14</v>
      </c>
      <c r="S29" s="702">
        <f>F29</f>
        <v>100</v>
      </c>
      <c r="T29" s="701" t="s">
        <v>14</v>
      </c>
      <c r="U29" s="702">
        <f>H29</f>
        <v>100</v>
      </c>
      <c r="V29" s="701" t="s">
        <v>14</v>
      </c>
      <c r="W29" s="702">
        <f>J29</f>
        <v>100</v>
      </c>
      <c r="X29" s="703"/>
      <c r="Y29" s="388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883"/>
      <c r="Q30" s="1343"/>
      <c r="R30" s="701"/>
      <c r="S30" s="702"/>
      <c r="T30" s="701"/>
      <c r="U30" s="702"/>
      <c r="V30" s="701"/>
      <c r="W30" s="702"/>
      <c r="X30" s="703"/>
      <c r="Y30" s="388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88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8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883"/>
      <c r="Q32" s="1352" t="str">
        <f t="shared" si="8"/>
        <v>毗邻道路的类型与等级</v>
      </c>
      <c r="R32" s="705" t="s">
        <v>14</v>
      </c>
      <c r="S32" s="706">
        <f t="shared" si="10"/>
        <v>100</v>
      </c>
      <c r="T32" s="705" t="s">
        <v>14</v>
      </c>
      <c r="U32" s="706">
        <f t="shared" si="11"/>
        <v>100</v>
      </c>
      <c r="V32" s="705" t="s">
        <v>14</v>
      </c>
      <c r="W32" s="706">
        <f t="shared" si="12"/>
        <v>100</v>
      </c>
      <c r="X32" s="1355"/>
      <c r="Y32" s="388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883"/>
      <c r="Q33" s="1352"/>
      <c r="R33" s="705"/>
      <c r="S33" s="706"/>
      <c r="T33" s="705"/>
      <c r="U33" s="706"/>
      <c r="V33" s="705"/>
      <c r="W33" s="706"/>
      <c r="X33" s="1355"/>
      <c r="Y33" s="388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883"/>
      <c r="Q34" s="1352" t="str">
        <f t="shared" si="8"/>
        <v>土地级别</v>
      </c>
      <c r="R34" s="705" t="s">
        <v>14</v>
      </c>
      <c r="S34" s="706">
        <f t="shared" si="10"/>
        <v>100</v>
      </c>
      <c r="T34" s="705" t="s">
        <v>14</v>
      </c>
      <c r="U34" s="706">
        <f t="shared" si="11"/>
        <v>100</v>
      </c>
      <c r="V34" s="705" t="s">
        <v>14</v>
      </c>
      <c r="W34" s="706">
        <f t="shared" si="12"/>
        <v>100</v>
      </c>
      <c r="X34" s="1355"/>
      <c r="Y34" s="388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883"/>
      <c r="Q35" s="1352">
        <f t="shared" si="8"/>
        <v>111</v>
      </c>
      <c r="R35" s="705" t="s">
        <v>14</v>
      </c>
      <c r="S35" s="706">
        <f t="shared" si="10"/>
        <v>100</v>
      </c>
      <c r="T35" s="705" t="s">
        <v>14</v>
      </c>
      <c r="U35" s="706">
        <f t="shared" si="11"/>
        <v>100</v>
      </c>
      <c r="V35" s="705" t="s">
        <v>14</v>
      </c>
      <c r="W35" s="706">
        <f t="shared" si="12"/>
        <v>100</v>
      </c>
      <c r="X35" s="1355"/>
      <c r="Y35" s="388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906" t="s">
        <v>1696</v>
      </c>
      <c r="Q36" s="1352">
        <f t="shared" si="8"/>
        <v>111</v>
      </c>
      <c r="R36" s="705" t="s">
        <v>14</v>
      </c>
      <c r="S36" s="706">
        <f t="shared" si="10"/>
        <v>100</v>
      </c>
      <c r="T36" s="705" t="s">
        <v>14</v>
      </c>
      <c r="U36" s="706">
        <f t="shared" si="11"/>
        <v>100</v>
      </c>
      <c r="V36" s="705" t="s">
        <v>14</v>
      </c>
      <c r="W36" s="706">
        <f t="shared" si="12"/>
        <v>100</v>
      </c>
      <c r="X36" s="1355"/>
      <c r="Y36" s="388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887"/>
      <c r="Q37" s="1352">
        <f t="shared" si="8"/>
        <v>111</v>
      </c>
      <c r="R37" s="708" t="s">
        <v>14</v>
      </c>
      <c r="S37" s="709">
        <f t="shared" si="10"/>
        <v>100</v>
      </c>
      <c r="T37" s="708" t="s">
        <v>14</v>
      </c>
      <c r="U37" s="709">
        <f t="shared" si="11"/>
        <v>100</v>
      </c>
      <c r="V37" s="708" t="s">
        <v>14</v>
      </c>
      <c r="W37" s="709">
        <f t="shared" si="12"/>
        <v>100</v>
      </c>
      <c r="X37" s="710"/>
      <c r="Y37" s="388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887"/>
      <c r="Q38" s="1352" t="str">
        <f>B38</f>
        <v>宗地面积</v>
      </c>
      <c r="R38" s="705" t="s">
        <v>14</v>
      </c>
      <c r="S38" s="706" t="e">
        <f t="shared" si="10"/>
        <v>#N/A</v>
      </c>
      <c r="T38" s="705" t="s">
        <v>14</v>
      </c>
      <c r="U38" s="706" t="e">
        <f t="shared" si="11"/>
        <v>#N/A</v>
      </c>
      <c r="V38" s="705" t="s">
        <v>14</v>
      </c>
      <c r="W38" s="706" t="e">
        <f t="shared" si="12"/>
        <v>#N/A</v>
      </c>
      <c r="X38" s="1355"/>
      <c r="Y38" s="388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887"/>
      <c r="Q39" s="1352" t="str">
        <f t="shared" ref="Q39:Q45" si="14">B39</f>
        <v>宗地形状</v>
      </c>
      <c r="R39" s="705" t="s">
        <v>14</v>
      </c>
      <c r="S39" s="706">
        <f t="shared" si="10"/>
        <v>100</v>
      </c>
      <c r="T39" s="705" t="s">
        <v>14</v>
      </c>
      <c r="U39" s="706">
        <f t="shared" si="11"/>
        <v>100</v>
      </c>
      <c r="V39" s="705" t="s">
        <v>14</v>
      </c>
      <c r="W39" s="706">
        <f t="shared" si="12"/>
        <v>100</v>
      </c>
      <c r="X39" s="1355"/>
      <c r="Y39" s="388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887"/>
      <c r="Q40" s="1352" t="str">
        <f t="shared" si="14"/>
        <v>临街宽度及深度</v>
      </c>
      <c r="R40" s="705" t="s">
        <v>14</v>
      </c>
      <c r="S40" s="706">
        <f t="shared" si="10"/>
        <v>100</v>
      </c>
      <c r="T40" s="705" t="s">
        <v>14</v>
      </c>
      <c r="U40" s="706">
        <f t="shared" si="11"/>
        <v>100</v>
      </c>
      <c r="V40" s="705" t="s">
        <v>14</v>
      </c>
      <c r="W40" s="706">
        <f t="shared" si="12"/>
        <v>100</v>
      </c>
      <c r="X40" s="1355"/>
      <c r="Y40" s="388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887"/>
      <c r="Q41" s="1352" t="str">
        <f t="shared" si="14"/>
        <v>宗地开发程度</v>
      </c>
      <c r="R41" s="701" t="s">
        <v>14</v>
      </c>
      <c r="S41" s="702">
        <f t="shared" si="10"/>
        <v>100</v>
      </c>
      <c r="T41" s="701" t="s">
        <v>14</v>
      </c>
      <c r="U41" s="702">
        <f t="shared" si="11"/>
        <v>100</v>
      </c>
      <c r="V41" s="701" t="s">
        <v>14</v>
      </c>
      <c r="W41" s="702">
        <f t="shared" si="12"/>
        <v>100</v>
      </c>
      <c r="X41" s="703"/>
      <c r="Y41" s="388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887" t="s">
        <v>1696</v>
      </c>
      <c r="Q42" s="1352" t="str">
        <f t="shared" si="14"/>
        <v>工程地质条件</v>
      </c>
      <c r="R42" s="705" t="s">
        <v>14</v>
      </c>
      <c r="S42" s="706">
        <f t="shared" si="10"/>
        <v>100</v>
      </c>
      <c r="T42" s="705" t="s">
        <v>14</v>
      </c>
      <c r="U42" s="706">
        <f t="shared" si="11"/>
        <v>100</v>
      </c>
      <c r="V42" s="705" t="s">
        <v>14</v>
      </c>
      <c r="W42" s="706">
        <f t="shared" si="12"/>
        <v>100</v>
      </c>
      <c r="X42" s="1355"/>
      <c r="Y42" s="388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887"/>
      <c r="Q43" s="1352">
        <f t="shared" si="14"/>
        <v>111</v>
      </c>
      <c r="R43" s="705" t="s">
        <v>14</v>
      </c>
      <c r="S43" s="706">
        <f t="shared" si="10"/>
        <v>100</v>
      </c>
      <c r="T43" s="705" t="s">
        <v>14</v>
      </c>
      <c r="U43" s="706">
        <f t="shared" si="11"/>
        <v>100</v>
      </c>
      <c r="V43" s="705" t="s">
        <v>14</v>
      </c>
      <c r="W43" s="706">
        <f t="shared" si="12"/>
        <v>100</v>
      </c>
      <c r="X43" s="1355"/>
      <c r="Y43" s="388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887"/>
      <c r="Q44" s="1352">
        <f t="shared" si="14"/>
        <v>111</v>
      </c>
      <c r="R44" s="705" t="s">
        <v>14</v>
      </c>
      <c r="S44" s="706">
        <f t="shared" si="10"/>
        <v>100</v>
      </c>
      <c r="T44" s="705" t="s">
        <v>14</v>
      </c>
      <c r="U44" s="706">
        <f t="shared" si="11"/>
        <v>100</v>
      </c>
      <c r="V44" s="705" t="s">
        <v>14</v>
      </c>
      <c r="W44" s="706">
        <f t="shared" si="12"/>
        <v>100</v>
      </c>
      <c r="X44" s="1355"/>
      <c r="Y44" s="388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887"/>
      <c r="Q45" s="1352">
        <f t="shared" si="14"/>
        <v>111</v>
      </c>
      <c r="R45" s="708" t="s">
        <v>14</v>
      </c>
      <c r="S45" s="709">
        <f t="shared" si="10"/>
        <v>100</v>
      </c>
      <c r="T45" s="708" t="s">
        <v>14</v>
      </c>
      <c r="U45" s="709">
        <f t="shared" si="11"/>
        <v>100</v>
      </c>
      <c r="V45" s="708" t="s">
        <v>14</v>
      </c>
      <c r="W45" s="709">
        <f t="shared" si="12"/>
        <v>100</v>
      </c>
      <c r="X45" s="710"/>
      <c r="Y45" s="388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880" t="str">
        <f>A46</f>
        <v>成交单价</v>
      </c>
      <c r="Q46" s="3880"/>
      <c r="R46" s="3875">
        <f>E46</f>
        <v>0</v>
      </c>
      <c r="S46" s="3875"/>
      <c r="T46" s="3875">
        <f>G46</f>
        <v>0</v>
      </c>
      <c r="U46" s="3875"/>
      <c r="V46" s="3875">
        <f>I46</f>
        <v>0</v>
      </c>
      <c r="W46" s="387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880" t="str">
        <f>A47</f>
        <v>比较价值（元/平方米）</v>
      </c>
      <c r="Q47" s="3880"/>
      <c r="R47" s="3912" t="e">
        <f>ROUND(PRODUCT(R46,AA7:AA45),0)</f>
        <v>#DIV/0!</v>
      </c>
      <c r="S47" s="3912"/>
      <c r="T47" s="3912" t="e">
        <f>ROUND(PRODUCT(T46,AB7:AB45),0)</f>
        <v>#DIV/0!</v>
      </c>
      <c r="U47" s="3912"/>
      <c r="V47" s="3912" t="e">
        <f>ROUND(PRODUCT(V46,AC7:AC45),0)</f>
        <v>#DIV/0!</v>
      </c>
      <c r="W47" s="391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877" t="str">
        <f>A48</f>
        <v>估价对象XX用房的比较价值（楼面单价，元/平方米）</v>
      </c>
      <c r="Q48" s="3878"/>
      <c r="R48" s="3913" t="e">
        <f>ROUND(IF(D47="简单平均",AVERAGE(R47:W47),R47*F47+T47*H47+V47*J47),0)</f>
        <v>#DIV/0!</v>
      </c>
      <c r="S48" s="3913"/>
      <c r="T48" s="3913"/>
      <c r="U48" s="3913"/>
      <c r="V48" s="3913"/>
      <c r="W48" s="3913"/>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863" t="s">
        <v>1887</v>
      </c>
      <c r="H55" s="3914"/>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5605.5</v>
      </c>
      <c r="F56" s="886" t="e">
        <f t="shared" ref="F56:F64" si="15">ROUND(B56*E56/10000,0)</f>
        <v>#DIV/0!</v>
      </c>
      <c r="G56" s="3862"/>
      <c r="H56" s="388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5605.5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863" t="s">
        <v>1770</v>
      </c>
      <c r="D4" s="3864"/>
      <c r="E4" s="3865" t="s">
        <v>1771</v>
      </c>
      <c r="F4" s="3866"/>
      <c r="G4" s="3863" t="s">
        <v>1772</v>
      </c>
      <c r="H4" s="3864"/>
      <c r="I4" s="3863" t="s">
        <v>1773</v>
      </c>
      <c r="J4" s="3864"/>
      <c r="K4" s="559" t="s">
        <v>1774</v>
      </c>
      <c r="L4" s="2713"/>
      <c r="M4" s="2714"/>
      <c r="N4" s="2714"/>
      <c r="O4" s="2714"/>
      <c r="P4" s="3867" t="s">
        <v>1775</v>
      </c>
      <c r="Q4" s="3868"/>
      <c r="R4" s="3850" t="s">
        <v>1771</v>
      </c>
      <c r="S4" s="3851"/>
      <c r="T4" s="3850" t="s">
        <v>1772</v>
      </c>
      <c r="U4" s="3851"/>
      <c r="V4" s="3875" t="s">
        <v>1773</v>
      </c>
      <c r="W4" s="3875"/>
      <c r="X4" s="1355"/>
      <c r="Y4" s="3850" t="s">
        <v>1775</v>
      </c>
      <c r="Z4" s="3851"/>
      <c r="AA4" s="3845" t="s">
        <v>1771</v>
      </c>
      <c r="AB4" s="3846" t="s">
        <v>1772</v>
      </c>
      <c r="AC4" s="3845" t="s">
        <v>1773</v>
      </c>
    </row>
    <row r="5" spans="1:29" ht="15">
      <c r="A5" s="358"/>
      <c r="B5" s="359"/>
      <c r="C5" s="3856" t="s">
        <v>1673</v>
      </c>
      <c r="D5" s="3857"/>
      <c r="E5" s="3854" t="s">
        <v>1674</v>
      </c>
      <c r="F5" s="3855"/>
      <c r="G5" s="3856" t="s">
        <v>1675</v>
      </c>
      <c r="H5" s="3857"/>
      <c r="I5" s="3856" t="s">
        <v>1676</v>
      </c>
      <c r="J5" s="3857"/>
      <c r="K5" s="559"/>
      <c r="L5" s="2713"/>
      <c r="M5" s="2714"/>
      <c r="N5" s="2714"/>
      <c r="O5" s="2714"/>
      <c r="P5" s="3869"/>
      <c r="Q5" s="3870"/>
      <c r="R5" s="3852"/>
      <c r="S5" s="3853"/>
      <c r="T5" s="3852"/>
      <c r="U5" s="3853"/>
      <c r="V5" s="3875"/>
      <c r="W5" s="3875"/>
      <c r="X5" s="1355"/>
      <c r="Y5" s="3852"/>
      <c r="Z5" s="3853"/>
      <c r="AA5" s="3846"/>
      <c r="AB5" s="3846"/>
      <c r="AC5" s="3846"/>
    </row>
    <row r="6" spans="1:29" ht="15.75" thickBot="1">
      <c r="A6" s="360"/>
      <c r="B6" s="361"/>
      <c r="C6" s="3915" t="s">
        <v>1919</v>
      </c>
      <c r="D6" s="3916"/>
      <c r="E6" s="3917" t="s">
        <v>1919</v>
      </c>
      <c r="F6" s="3918"/>
      <c r="G6" s="3915" t="s">
        <v>1919</v>
      </c>
      <c r="H6" s="3916"/>
      <c r="I6" s="3915" t="s">
        <v>1919</v>
      </c>
      <c r="J6" s="3916"/>
      <c r="K6" s="559" t="s">
        <v>1678</v>
      </c>
      <c r="L6" s="2713"/>
      <c r="M6" s="2714"/>
      <c r="N6" s="2714"/>
      <c r="O6" s="2714"/>
      <c r="P6" s="3871"/>
      <c r="Q6" s="3872"/>
      <c r="R6" s="3852"/>
      <c r="S6" s="3853"/>
      <c r="T6" s="3873"/>
      <c r="U6" s="3874"/>
      <c r="V6" s="3875"/>
      <c r="W6" s="3875"/>
      <c r="X6" s="1355"/>
      <c r="Y6" s="3873"/>
      <c r="Z6" s="3874"/>
      <c r="AA6" s="3847"/>
      <c r="AB6" s="3847"/>
      <c r="AC6" s="3847"/>
    </row>
    <row r="7" spans="1:29" s="108" customFormat="1" ht="15.75" thickBot="1">
      <c r="A7" s="362" t="s">
        <v>1679</v>
      </c>
      <c r="B7" s="363"/>
      <c r="C7" s="364">
        <f>'数据-取费表'!B2</f>
        <v>45056</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848" t="s">
        <v>1680</v>
      </c>
      <c r="Q7" s="3876"/>
      <c r="R7" s="701" t="s">
        <v>14</v>
      </c>
      <c r="S7" s="702">
        <f t="shared" ref="S7:S15" si="0">F7</f>
        <v>0</v>
      </c>
      <c r="T7" s="701" t="s">
        <v>14</v>
      </c>
      <c r="U7" s="702">
        <f t="shared" ref="U7:U15" si="1">H7</f>
        <v>0</v>
      </c>
      <c r="V7" s="701" t="s">
        <v>14</v>
      </c>
      <c r="W7" s="702">
        <f t="shared" ref="W7:W15" si="2">J7</f>
        <v>0</v>
      </c>
      <c r="X7" s="703"/>
      <c r="Y7" s="3848" t="s">
        <v>1680</v>
      </c>
      <c r="Z7" s="384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48" t="s">
        <v>1683</v>
      </c>
      <c r="Q8" s="3849"/>
      <c r="R8" s="701" t="s">
        <v>14</v>
      </c>
      <c r="S8" s="702">
        <f t="shared" si="0"/>
        <v>0</v>
      </c>
      <c r="T8" s="701" t="s">
        <v>14</v>
      </c>
      <c r="U8" s="702">
        <f t="shared" si="1"/>
        <v>0</v>
      </c>
      <c r="V8" s="701" t="s">
        <v>14</v>
      </c>
      <c r="W8" s="702">
        <f t="shared" si="2"/>
        <v>0</v>
      </c>
      <c r="X8" s="703"/>
      <c r="Y8" s="3848" t="s">
        <v>1683</v>
      </c>
      <c r="Z8" s="384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880" t="s">
        <v>1686</v>
      </c>
      <c r="Q9" s="1343" t="str">
        <f t="shared" ref="Q9:Q15" si="6">B9</f>
        <v>用途</v>
      </c>
      <c r="R9" s="701" t="s">
        <v>14</v>
      </c>
      <c r="S9" s="702">
        <f t="shared" si="0"/>
        <v>100</v>
      </c>
      <c r="T9" s="701" t="s">
        <v>14</v>
      </c>
      <c r="U9" s="702">
        <f t="shared" si="1"/>
        <v>100</v>
      </c>
      <c r="V9" s="701" t="s">
        <v>14</v>
      </c>
      <c r="W9" s="702">
        <f t="shared" si="2"/>
        <v>100</v>
      </c>
      <c r="X9" s="703"/>
      <c r="Y9" s="379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7"/>
      <c r="M10" s="2718"/>
      <c r="N10" s="2718"/>
      <c r="O10" s="2771"/>
      <c r="P10" s="3880"/>
      <c r="Q10" s="1343" t="str">
        <f t="shared" si="6"/>
        <v>土地使用年限（年）</v>
      </c>
      <c r="R10" s="701" t="s">
        <v>14</v>
      </c>
      <c r="S10" s="702">
        <f t="shared" si="0"/>
        <v>114</v>
      </c>
      <c r="T10" s="701" t="s">
        <v>14</v>
      </c>
      <c r="U10" s="702">
        <f t="shared" si="1"/>
        <v>114</v>
      </c>
      <c r="V10" s="701" t="s">
        <v>14</v>
      </c>
      <c r="W10" s="702">
        <f t="shared" si="2"/>
        <v>114</v>
      </c>
      <c r="X10" s="703"/>
      <c r="Y10" s="3795"/>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880"/>
      <c r="Q11" s="1343" t="str">
        <f t="shared" si="6"/>
        <v>容积率</v>
      </c>
      <c r="R11" s="701" t="s">
        <v>14</v>
      </c>
      <c r="S11" s="702" t="e">
        <f t="shared" si="0"/>
        <v>#N/A</v>
      </c>
      <c r="T11" s="701" t="s">
        <v>14</v>
      </c>
      <c r="U11" s="702" t="e">
        <f t="shared" si="1"/>
        <v>#N/A</v>
      </c>
      <c r="V11" s="701" t="s">
        <v>14</v>
      </c>
      <c r="W11" s="702" t="e">
        <f t="shared" si="2"/>
        <v>#N/A</v>
      </c>
      <c r="X11" s="703"/>
      <c r="Y11" s="379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880"/>
      <c r="Q12" s="1343">
        <f t="shared" si="6"/>
        <v>111</v>
      </c>
      <c r="R12" s="701" t="s">
        <v>14</v>
      </c>
      <c r="S12" s="702">
        <f t="shared" si="0"/>
        <v>100</v>
      </c>
      <c r="T12" s="701" t="s">
        <v>14</v>
      </c>
      <c r="U12" s="702">
        <f t="shared" si="1"/>
        <v>100</v>
      </c>
      <c r="V12" s="701" t="s">
        <v>14</v>
      </c>
      <c r="W12" s="702">
        <f t="shared" si="2"/>
        <v>100</v>
      </c>
      <c r="X12" s="703"/>
      <c r="Y12" s="379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880"/>
      <c r="Q13" s="1343">
        <f t="shared" si="6"/>
        <v>111</v>
      </c>
      <c r="R13" s="701" t="s">
        <v>14</v>
      </c>
      <c r="S13" s="702">
        <f t="shared" si="0"/>
        <v>100</v>
      </c>
      <c r="T13" s="701" t="s">
        <v>14</v>
      </c>
      <c r="U13" s="702">
        <f t="shared" si="1"/>
        <v>100</v>
      </c>
      <c r="V13" s="701" t="s">
        <v>14</v>
      </c>
      <c r="W13" s="702">
        <f t="shared" si="2"/>
        <v>100</v>
      </c>
      <c r="X13" s="703"/>
      <c r="Y13" s="379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880"/>
      <c r="Q14" s="1343">
        <f t="shared" si="6"/>
        <v>111</v>
      </c>
      <c r="R14" s="701" t="s">
        <v>14</v>
      </c>
      <c r="S14" s="702">
        <f t="shared" si="0"/>
        <v>100</v>
      </c>
      <c r="T14" s="701" t="s">
        <v>14</v>
      </c>
      <c r="U14" s="702">
        <f t="shared" si="1"/>
        <v>100</v>
      </c>
      <c r="V14" s="701" t="s">
        <v>14</v>
      </c>
      <c r="W14" s="702">
        <f t="shared" si="2"/>
        <v>100</v>
      </c>
      <c r="X14" s="703"/>
      <c r="Y14" s="3795"/>
      <c r="Z14" s="52">
        <f t="shared" si="7"/>
        <v>111</v>
      </c>
      <c r="AA14" s="704">
        <f t="shared" si="3"/>
        <v>1</v>
      </c>
      <c r="AB14" s="704">
        <f t="shared" si="4"/>
        <v>1</v>
      </c>
      <c r="AC14" s="704">
        <f t="shared" si="5"/>
        <v>1</v>
      </c>
    </row>
    <row r="15" spans="1:29" ht="128.25">
      <c r="A15" s="391" t="s">
        <v>1690</v>
      </c>
      <c r="B15" s="577" t="s">
        <v>1920</v>
      </c>
      <c r="C15" s="1971" t="str">
        <f>估价对象房地状况!G15</f>
        <v>估价对象位于亦庄开发区，周边有瑞森国际大厦、易城时代广场、嘉捷BOX企业汇、亦庄生物医药园，园区建设成熟度较好，产业集聚程度较好</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882" t="s">
        <v>1691</v>
      </c>
      <c r="Q15" s="1352" t="str">
        <f t="shared" si="6"/>
        <v>产业集聚程度</v>
      </c>
      <c r="R15" s="705" t="s">
        <v>14</v>
      </c>
      <c r="S15" s="706">
        <f t="shared" si="0"/>
        <v>100</v>
      </c>
      <c r="T15" s="705" t="s">
        <v>14</v>
      </c>
      <c r="U15" s="706">
        <f t="shared" si="1"/>
        <v>100</v>
      </c>
      <c r="V15" s="705" t="s">
        <v>14</v>
      </c>
      <c r="W15" s="706">
        <f t="shared" si="2"/>
        <v>100</v>
      </c>
      <c r="X15" s="1355"/>
      <c r="Y15" s="388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883"/>
      <c r="Q16" s="1352"/>
      <c r="R16" s="705"/>
      <c r="S16" s="706"/>
      <c r="T16" s="705"/>
      <c r="U16" s="706"/>
      <c r="V16" s="705"/>
      <c r="W16" s="706"/>
      <c r="X16" s="1355"/>
      <c r="Y16" s="3883"/>
      <c r="Z16" s="1356"/>
      <c r="AA16" s="1353">
        <v>1</v>
      </c>
      <c r="AB16" s="1353">
        <v>1</v>
      </c>
      <c r="AC16" s="1353">
        <v>1</v>
      </c>
    </row>
    <row r="17" spans="1:29" ht="156.75">
      <c r="A17" s="379"/>
      <c r="B17" s="579" t="s">
        <v>1833</v>
      </c>
      <c r="C17" s="1900" t="str">
        <f>估价对象房地状况!G16</f>
        <v>估价对象距离亦庄T1线定海园西站约1.5公里，距离京沪高速约1.2公里；周边有兴58路、兴78路、专185路等公交线路途径并设立站点，综合评价交通便捷度较好。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883"/>
      <c r="Q17" s="1352" t="str">
        <f>B17</f>
        <v>交通便捷度</v>
      </c>
      <c r="R17" s="705" t="s">
        <v>14</v>
      </c>
      <c r="S17" s="706">
        <f>F17</f>
        <v>100</v>
      </c>
      <c r="T17" s="705" t="s">
        <v>14</v>
      </c>
      <c r="U17" s="706">
        <f>H17</f>
        <v>100</v>
      </c>
      <c r="V17" s="705" t="s">
        <v>14</v>
      </c>
      <c r="W17" s="706">
        <f>J17</f>
        <v>100</v>
      </c>
      <c r="X17" s="1355"/>
      <c r="Y17" s="388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883"/>
      <c r="Q18" s="1352"/>
      <c r="R18" s="705"/>
      <c r="S18" s="706"/>
      <c r="T18" s="705"/>
      <c r="U18" s="706"/>
      <c r="V18" s="705"/>
      <c r="W18" s="706"/>
      <c r="X18" s="1355"/>
      <c r="Y18" s="388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883"/>
      <c r="Q19" s="1352" t="str">
        <f t="shared" ref="Q19:Q33" si="8">B19</f>
        <v>区域土地利用方向</v>
      </c>
      <c r="R19" s="705" t="s">
        <v>14</v>
      </c>
      <c r="S19" s="706">
        <f>F19</f>
        <v>100</v>
      </c>
      <c r="T19" s="705" t="s">
        <v>14</v>
      </c>
      <c r="U19" s="706">
        <f>H19</f>
        <v>100</v>
      </c>
      <c r="V19" s="705" t="s">
        <v>14</v>
      </c>
      <c r="W19" s="706">
        <f>J19</f>
        <v>100</v>
      </c>
      <c r="X19" s="1355"/>
      <c r="Y19" s="388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883"/>
      <c r="Q20" s="1352"/>
      <c r="R20" s="705"/>
      <c r="S20" s="706"/>
      <c r="T20" s="705"/>
      <c r="U20" s="706"/>
      <c r="V20" s="705"/>
      <c r="W20" s="706"/>
      <c r="X20" s="1355"/>
      <c r="Y20" s="3883"/>
      <c r="Z20" s="1356"/>
      <c r="AA20" s="1353"/>
      <c r="AB20" s="1353"/>
      <c r="AC20" s="1353"/>
    </row>
    <row r="21" spans="1:29" ht="71.25">
      <c r="A21" s="358"/>
      <c r="B21" s="579" t="s">
        <v>1921</v>
      </c>
      <c r="C21" s="1900" t="str">
        <f>估价对象房地状况!G18</f>
        <v>该园区内无污染型企业，绿化情况一般，卫生条件一般，整体环境状况一般</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883"/>
      <c r="Q21" s="1352" t="str">
        <f t="shared" si="8"/>
        <v>环境状况</v>
      </c>
      <c r="R21" s="705" t="s">
        <v>14</v>
      </c>
      <c r="S21" s="706">
        <f>F21</f>
        <v>100</v>
      </c>
      <c r="T21" s="705" t="s">
        <v>14</v>
      </c>
      <c r="U21" s="706">
        <f>H21</f>
        <v>100</v>
      </c>
      <c r="V21" s="705" t="s">
        <v>14</v>
      </c>
      <c r="W21" s="706">
        <f>J21</f>
        <v>100</v>
      </c>
      <c r="X21" s="1355"/>
      <c r="Y21" s="388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883"/>
      <c r="Q22" s="1352"/>
      <c r="R22" s="705"/>
      <c r="S22" s="706"/>
      <c r="T22" s="705"/>
      <c r="U22" s="706"/>
      <c r="V22" s="705"/>
      <c r="W22" s="706"/>
      <c r="X22" s="1355"/>
      <c r="Y22" s="3883"/>
      <c r="Z22" s="1356"/>
      <c r="AA22" s="1353">
        <v>1</v>
      </c>
      <c r="AB22" s="1353">
        <v>1</v>
      </c>
      <c r="AC22" s="1353">
        <v>1</v>
      </c>
    </row>
    <row r="23" spans="1:29" s="108" customFormat="1" ht="270.75">
      <c r="A23" s="597"/>
      <c r="B23" s="581" t="s">
        <v>1778</v>
      </c>
      <c r="C23" s="1900" t="str">
        <f>估价对象房地状况!G19</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883"/>
      <c r="Q23" s="1343" t="str">
        <f t="shared" si="8"/>
        <v>公共配套设施</v>
      </c>
      <c r="R23" s="701" t="s">
        <v>14</v>
      </c>
      <c r="S23" s="702">
        <f>F23</f>
        <v>100</v>
      </c>
      <c r="T23" s="701" t="s">
        <v>14</v>
      </c>
      <c r="U23" s="702">
        <f>H23</f>
        <v>100</v>
      </c>
      <c r="V23" s="701" t="s">
        <v>14</v>
      </c>
      <c r="W23" s="702">
        <f>J23</f>
        <v>100</v>
      </c>
      <c r="X23" s="703"/>
      <c r="Y23" s="388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883"/>
      <c r="Q24" s="1343"/>
      <c r="R24" s="701"/>
      <c r="S24" s="702"/>
      <c r="T24" s="701"/>
      <c r="U24" s="702"/>
      <c r="V24" s="701"/>
      <c r="W24" s="702"/>
      <c r="X24" s="703"/>
      <c r="Y24" s="3883"/>
      <c r="Z24" s="52"/>
      <c r="AA24" s="704">
        <v>1</v>
      </c>
      <c r="AB24" s="704">
        <v>1</v>
      </c>
      <c r="AC24" s="704">
        <v>1</v>
      </c>
    </row>
    <row r="25" spans="1:29" s="108" customFormat="1" ht="42.75">
      <c r="A25" s="597"/>
      <c r="B25" s="581" t="s">
        <v>1779</v>
      </c>
      <c r="C25" s="1900" t="str">
        <f>估价对象房地状况!G20</f>
        <v>估价对象所在区域基础设施水平-五通</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883"/>
      <c r="Q25" s="1343" t="str">
        <f t="shared" ref="Q25" si="9">B25</f>
        <v>基础设施水平</v>
      </c>
      <c r="R25" s="701" t="s">
        <v>14</v>
      </c>
      <c r="S25" s="702">
        <f>F25</f>
        <v>100</v>
      </c>
      <c r="T25" s="701" t="s">
        <v>14</v>
      </c>
      <c r="U25" s="702">
        <f>H25</f>
        <v>100</v>
      </c>
      <c r="V25" s="701" t="s">
        <v>14</v>
      </c>
      <c r="W25" s="702">
        <f>J25</f>
        <v>100</v>
      </c>
      <c r="X25" s="703"/>
      <c r="Y25" s="388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883"/>
      <c r="Q26" s="1343"/>
      <c r="R26" s="701"/>
      <c r="S26" s="702"/>
      <c r="T26" s="701"/>
      <c r="U26" s="702"/>
      <c r="V26" s="701"/>
      <c r="W26" s="702"/>
      <c r="X26" s="703"/>
      <c r="Y26" s="388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88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8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883"/>
      <c r="Q28" s="1352" t="str">
        <f t="shared" si="8"/>
        <v>毗邻道路的类型与等级</v>
      </c>
      <c r="R28" s="705" t="s">
        <v>14</v>
      </c>
      <c r="S28" s="706">
        <f t="shared" si="10"/>
        <v>100</v>
      </c>
      <c r="T28" s="705" t="s">
        <v>14</v>
      </c>
      <c r="U28" s="706">
        <f t="shared" si="11"/>
        <v>100</v>
      </c>
      <c r="V28" s="705" t="s">
        <v>14</v>
      </c>
      <c r="W28" s="706">
        <f t="shared" si="12"/>
        <v>100</v>
      </c>
      <c r="X28" s="1355"/>
      <c r="Y28" s="388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883"/>
      <c r="Q29" s="1352"/>
      <c r="R29" s="705"/>
      <c r="S29" s="706"/>
      <c r="T29" s="705"/>
      <c r="U29" s="706"/>
      <c r="V29" s="705"/>
      <c r="W29" s="706"/>
      <c r="X29" s="1355"/>
      <c r="Y29" s="388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883"/>
      <c r="Q30" s="1352" t="str">
        <f t="shared" si="8"/>
        <v>土地级别</v>
      </c>
      <c r="R30" s="705" t="s">
        <v>14</v>
      </c>
      <c r="S30" s="706">
        <f t="shared" si="10"/>
        <v>100</v>
      </c>
      <c r="T30" s="705" t="s">
        <v>14</v>
      </c>
      <c r="U30" s="706">
        <f t="shared" si="11"/>
        <v>100</v>
      </c>
      <c r="V30" s="705" t="s">
        <v>14</v>
      </c>
      <c r="W30" s="706">
        <f t="shared" si="12"/>
        <v>100</v>
      </c>
      <c r="X30" s="1355"/>
      <c r="Y30" s="388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883"/>
      <c r="Q31" s="1352">
        <f t="shared" si="8"/>
        <v>111</v>
      </c>
      <c r="R31" s="705" t="s">
        <v>14</v>
      </c>
      <c r="S31" s="706">
        <f t="shared" si="10"/>
        <v>100</v>
      </c>
      <c r="T31" s="705" t="s">
        <v>14</v>
      </c>
      <c r="U31" s="706">
        <f t="shared" si="11"/>
        <v>100</v>
      </c>
      <c r="V31" s="705" t="s">
        <v>14</v>
      </c>
      <c r="W31" s="706">
        <f t="shared" si="12"/>
        <v>100</v>
      </c>
      <c r="X31" s="1355"/>
      <c r="Y31" s="388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906" t="s">
        <v>1696</v>
      </c>
      <c r="Q32" s="1352">
        <f t="shared" si="8"/>
        <v>111</v>
      </c>
      <c r="R32" s="705" t="s">
        <v>14</v>
      </c>
      <c r="S32" s="706">
        <f t="shared" si="10"/>
        <v>100</v>
      </c>
      <c r="T32" s="705" t="s">
        <v>14</v>
      </c>
      <c r="U32" s="706">
        <f t="shared" si="11"/>
        <v>100</v>
      </c>
      <c r="V32" s="705" t="s">
        <v>14</v>
      </c>
      <c r="W32" s="706">
        <f t="shared" si="12"/>
        <v>100</v>
      </c>
      <c r="X32" s="1355"/>
      <c r="Y32" s="388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887"/>
      <c r="Q33" s="1352">
        <f t="shared" si="8"/>
        <v>111</v>
      </c>
      <c r="R33" s="708" t="s">
        <v>14</v>
      </c>
      <c r="S33" s="709">
        <f t="shared" si="10"/>
        <v>100</v>
      </c>
      <c r="T33" s="708" t="s">
        <v>14</v>
      </c>
      <c r="U33" s="709">
        <f t="shared" si="11"/>
        <v>100</v>
      </c>
      <c r="V33" s="708" t="s">
        <v>14</v>
      </c>
      <c r="W33" s="709">
        <f t="shared" si="12"/>
        <v>100</v>
      </c>
      <c r="X33" s="710"/>
      <c r="Y33" s="388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887"/>
      <c r="Q34" s="1352" t="str">
        <f>B34</f>
        <v>宗地面积</v>
      </c>
      <c r="R34" s="705" t="s">
        <v>14</v>
      </c>
      <c r="S34" s="706" t="e">
        <f t="shared" si="10"/>
        <v>#N/A</v>
      </c>
      <c r="T34" s="705" t="s">
        <v>14</v>
      </c>
      <c r="U34" s="706" t="e">
        <f t="shared" si="11"/>
        <v>#N/A</v>
      </c>
      <c r="V34" s="705" t="s">
        <v>14</v>
      </c>
      <c r="W34" s="706" t="e">
        <f t="shared" si="12"/>
        <v>#N/A</v>
      </c>
      <c r="X34" s="1355"/>
      <c r="Y34" s="388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887"/>
      <c r="Q35" s="1352" t="str">
        <f t="shared" ref="Q35:Q40" si="14">B35</f>
        <v>宗地形状</v>
      </c>
      <c r="R35" s="705" t="s">
        <v>14</v>
      </c>
      <c r="S35" s="706">
        <f t="shared" si="10"/>
        <v>100</v>
      </c>
      <c r="T35" s="705" t="s">
        <v>14</v>
      </c>
      <c r="U35" s="706">
        <f t="shared" si="11"/>
        <v>100</v>
      </c>
      <c r="V35" s="705" t="s">
        <v>14</v>
      </c>
      <c r="W35" s="706">
        <f t="shared" si="12"/>
        <v>100</v>
      </c>
      <c r="X35" s="1355"/>
      <c r="Y35" s="388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887"/>
      <c r="Q36" s="1352" t="str">
        <f t="shared" si="14"/>
        <v>宗地开发程度</v>
      </c>
      <c r="R36" s="701" t="s">
        <v>14</v>
      </c>
      <c r="S36" s="702">
        <f t="shared" si="10"/>
        <v>100</v>
      </c>
      <c r="T36" s="701" t="s">
        <v>14</v>
      </c>
      <c r="U36" s="702">
        <f t="shared" si="11"/>
        <v>100</v>
      </c>
      <c r="V36" s="701" t="s">
        <v>14</v>
      </c>
      <c r="W36" s="702">
        <f t="shared" si="12"/>
        <v>100</v>
      </c>
      <c r="X36" s="703"/>
      <c r="Y36" s="388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887" t="s">
        <v>1696</v>
      </c>
      <c r="Q37" s="1352" t="str">
        <f t="shared" si="14"/>
        <v>工程地质条件</v>
      </c>
      <c r="R37" s="705" t="s">
        <v>14</v>
      </c>
      <c r="S37" s="706">
        <f t="shared" si="10"/>
        <v>100</v>
      </c>
      <c r="T37" s="705" t="s">
        <v>14</v>
      </c>
      <c r="U37" s="706">
        <f t="shared" si="11"/>
        <v>100</v>
      </c>
      <c r="V37" s="705" t="s">
        <v>14</v>
      </c>
      <c r="W37" s="706">
        <f t="shared" si="12"/>
        <v>100</v>
      </c>
      <c r="X37" s="1355"/>
      <c r="Y37" s="388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887"/>
      <c r="Q38" s="1352">
        <f t="shared" si="14"/>
        <v>111</v>
      </c>
      <c r="R38" s="705" t="s">
        <v>14</v>
      </c>
      <c r="S38" s="706">
        <f t="shared" si="10"/>
        <v>100</v>
      </c>
      <c r="T38" s="705" t="s">
        <v>14</v>
      </c>
      <c r="U38" s="706">
        <f t="shared" si="11"/>
        <v>100</v>
      </c>
      <c r="V38" s="705" t="s">
        <v>14</v>
      </c>
      <c r="W38" s="706">
        <f t="shared" si="12"/>
        <v>100</v>
      </c>
      <c r="X38" s="1355"/>
      <c r="Y38" s="388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887"/>
      <c r="Q39" s="1352">
        <f t="shared" si="14"/>
        <v>111</v>
      </c>
      <c r="R39" s="705" t="s">
        <v>14</v>
      </c>
      <c r="S39" s="706">
        <f t="shared" si="10"/>
        <v>100</v>
      </c>
      <c r="T39" s="705" t="s">
        <v>14</v>
      </c>
      <c r="U39" s="706">
        <f t="shared" si="11"/>
        <v>100</v>
      </c>
      <c r="V39" s="705" t="s">
        <v>14</v>
      </c>
      <c r="W39" s="706">
        <f t="shared" si="12"/>
        <v>100</v>
      </c>
      <c r="X39" s="1355"/>
      <c r="Y39" s="388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887"/>
      <c r="Q40" s="1352">
        <f t="shared" si="14"/>
        <v>111</v>
      </c>
      <c r="R40" s="708" t="s">
        <v>14</v>
      </c>
      <c r="S40" s="709">
        <f t="shared" si="10"/>
        <v>100</v>
      </c>
      <c r="T40" s="708" t="s">
        <v>14</v>
      </c>
      <c r="U40" s="709">
        <f t="shared" si="11"/>
        <v>100</v>
      </c>
      <c r="V40" s="708" t="s">
        <v>14</v>
      </c>
      <c r="W40" s="709">
        <f t="shared" si="12"/>
        <v>100</v>
      </c>
      <c r="X40" s="710"/>
      <c r="Y40" s="388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880" t="str">
        <f>A41</f>
        <v>成交单价</v>
      </c>
      <c r="Q41" s="3880"/>
      <c r="R41" s="3875">
        <f>E41</f>
        <v>0</v>
      </c>
      <c r="S41" s="3875"/>
      <c r="T41" s="3875">
        <f>G41</f>
        <v>0</v>
      </c>
      <c r="U41" s="3875"/>
      <c r="V41" s="3875">
        <f>I41</f>
        <v>0</v>
      </c>
      <c r="W41" s="387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880" t="str">
        <f>A42</f>
        <v>比较价值（元/平方米）</v>
      </c>
      <c r="Q42" s="3880"/>
      <c r="R42" s="3912" t="e">
        <f>ROUND(PRODUCT(R41,AA7:AA40),0)</f>
        <v>#DIV/0!</v>
      </c>
      <c r="S42" s="3912"/>
      <c r="T42" s="3912" t="e">
        <f>ROUND(PRODUCT(T41,AB7:AB40),0)</f>
        <v>#DIV/0!</v>
      </c>
      <c r="U42" s="3912"/>
      <c r="V42" s="3912" t="e">
        <f>ROUND(PRODUCT(V41,AC7:AC40),0)</f>
        <v>#DIV/0!</v>
      </c>
      <c r="W42" s="391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877" t="str">
        <f>A43</f>
        <v>估价对象XX用房的比较价值（楼面单价，元/平方米）</v>
      </c>
      <c r="Q43" s="3878"/>
      <c r="R43" s="3913" t="e">
        <f>ROUND(IF(D42="简单平均",AVERAGE(R42:W42),R42*F42+T42*H42+V42*J42),0)</f>
        <v>#DIV/0!</v>
      </c>
      <c r="S43" s="3913"/>
      <c r="T43" s="3913"/>
      <c r="U43" s="3913"/>
      <c r="V43" s="3913"/>
      <c r="W43" s="3913"/>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863" t="s">
        <v>1887</v>
      </c>
      <c r="H50" s="3914"/>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5605.5</v>
      </c>
      <c r="F51" s="639" t="e">
        <f t="shared" ref="F51:F60" si="15">ROUND(B51*E51/10000,0)</f>
        <v>#DIV/0!</v>
      </c>
      <c r="G51" s="3862"/>
      <c r="H51" s="388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22" t="s">
        <v>2084</v>
      </c>
      <c r="D1" s="3923"/>
      <c r="E1" s="3923"/>
      <c r="F1" s="3923"/>
      <c r="G1" s="3923"/>
      <c r="H1" s="3923"/>
      <c r="I1" s="3923"/>
      <c r="J1" s="3923"/>
      <c r="K1" s="3923"/>
      <c r="L1" s="3923"/>
      <c r="M1" s="3923"/>
      <c r="N1" s="3923"/>
      <c r="O1" s="3923"/>
      <c r="P1" s="3923"/>
      <c r="Q1" s="3923"/>
      <c r="R1" s="3923"/>
      <c r="S1" s="392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19" t="s">
        <v>27</v>
      </c>
      <c r="D22" s="3920"/>
      <c r="E22" s="3920"/>
      <c r="F22" s="3920"/>
      <c r="G22" s="3920"/>
      <c r="H22" s="3920"/>
      <c r="I22" s="3920"/>
      <c r="J22" s="3920"/>
      <c r="K22" s="3920"/>
      <c r="L22" s="3920"/>
      <c r="M22" s="3920"/>
      <c r="N22" s="3920"/>
      <c r="O22" s="3920"/>
      <c r="P22" s="3920"/>
      <c r="Q22" s="392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1093</v>
      </c>
      <c r="C2" s="2145" t="s">
        <v>2074</v>
      </c>
      <c r="D2" s="2145" t="s">
        <v>2075</v>
      </c>
      <c r="E2" s="2610">
        <f ca="1">SUMIF(E6:E13,"&lt;&gt;#ref!",E6:E13)</f>
        <v>5605.5</v>
      </c>
      <c r="F2" s="2791"/>
      <c r="G2" s="2791"/>
      <c r="H2" s="2791"/>
      <c r="I2" s="2791"/>
      <c r="J2" s="2791"/>
      <c r="K2" s="2791"/>
      <c r="L2" s="2791"/>
      <c r="M2" s="2791"/>
      <c r="N2" s="2791"/>
      <c r="O2" s="2791"/>
      <c r="P2" s="2791"/>
    </row>
    <row r="3" spans="1:16" ht="15.75">
      <c r="A3" s="2145" t="s">
        <v>2076</v>
      </c>
      <c r="B3" s="2600">
        <f ca="1">ROUND(B2*10000/E2,0)</f>
        <v>1950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1093</v>
      </c>
      <c r="C6" s="2145" t="s">
        <v>2074</v>
      </c>
      <c r="D6" s="2791"/>
      <c r="E6" s="2610">
        <f ca="1">SUMIF(INDIRECT("'"&amp;A6&amp;"'"&amp;"!C:C"),"建筑面积",INDIRECT("'"&amp;A6&amp;"'"&amp;"!D:D"))</f>
        <v>5605.5</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90" zoomScaleNormal="70" zoomScaleSheetLayoutView="90"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v>
      </c>
      <c r="C1" s="1859" t="s">
        <v>1563</v>
      </c>
      <c r="D1" s="198"/>
      <c r="E1" s="198"/>
      <c r="F1" s="198"/>
      <c r="G1" s="1126">
        <f>MATCH(B1,'数据-取费表'!A6:A16,0)+5</f>
        <v>6</v>
      </c>
      <c r="H1" s="1061" t="str">
        <f>IF(ISERROR(FIND("住宅",B1)),"非住宅","住宅")</f>
        <v>非住宅</v>
      </c>
    </row>
    <row r="2" spans="1:8" s="200" customFormat="1" ht="18" customHeight="1">
      <c r="A2" s="201" t="s">
        <v>1462</v>
      </c>
      <c r="B2" s="3422">
        <f ca="1">ROUND(IF(D2="——",C52/10000,C52/10000-E2),4)</f>
        <v>3310.7934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5906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11258336</v>
      </c>
      <c r="D5" s="211" t="s">
        <v>1469</v>
      </c>
      <c r="E5" s="212" t="s">
        <v>1470</v>
      </c>
      <c r="F5" s="212" t="s">
        <v>1471</v>
      </c>
      <c r="G5" s="213"/>
    </row>
    <row r="6" spans="1:8" s="214" customFormat="1" ht="13.5" customHeight="1">
      <c r="A6" s="778" t="s">
        <v>1472</v>
      </c>
      <c r="B6" s="215" t="s">
        <v>1473</v>
      </c>
      <c r="C6" s="216">
        <f>ROUND(基准地价修正!C33*基准地价修正!D33,0)</f>
        <v>10925120</v>
      </c>
      <c r="D6" s="217"/>
      <c r="E6" s="218"/>
      <c r="F6" s="218"/>
      <c r="G6" s="219"/>
    </row>
    <row r="7" spans="1:8" s="214" customFormat="1" ht="13.5" customHeight="1">
      <c r="A7" s="778" t="s">
        <v>1474</v>
      </c>
      <c r="B7" s="215" t="s">
        <v>1475</v>
      </c>
      <c r="C7" s="220">
        <f>ROUND(C6*F7,0)</f>
        <v>333216</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1065045</v>
      </c>
      <c r="D10" s="845">
        <f ca="1">IF(B1="",'数据-汇总表'!E6,IF(INDIRECT("'数据-取费表'!c"&amp;$G$1)="住宅",INDIRECT("'数据-取费表'!s"&amp;$G$1),INDIRECT("'数据-取费表'!k"&amp;$G$1)+INDIRECT("'数据-取费表'!s"&amp;$G$1)))</f>
        <v>5605.5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1065045</v>
      </c>
      <c r="D19" s="849">
        <f ca="1">D9+D10</f>
        <v>5605.5</v>
      </c>
      <c r="E19" s="211">
        <f>'数据-取费表'!B31</f>
        <v>190</v>
      </c>
      <c r="F19" s="231"/>
      <c r="G19" s="1856" t="s">
        <v>436</v>
      </c>
    </row>
    <row r="20" spans="1:7" s="214" customFormat="1" ht="13.5" customHeight="1">
      <c r="A20" s="255" t="s">
        <v>1574</v>
      </c>
      <c r="B20" s="210" t="s">
        <v>1575</v>
      </c>
      <c r="C20" s="232">
        <f ca="1">ROUND((C5+C19)*F20,0)</f>
        <v>246468</v>
      </c>
      <c r="D20" s="232"/>
      <c r="E20" s="232"/>
      <c r="F20" s="233">
        <f>'数据-取费表'!B37</f>
        <v>0.02</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541428</v>
      </c>
      <c r="D22" s="235">
        <f ca="1">C26</f>
        <v>2.0000000000000001E-4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489738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46329</v>
      </c>
      <c r="D24" s="238"/>
      <c r="E24" s="238"/>
      <c r="F24" s="239"/>
      <c r="G24" s="240" t="s">
        <v>1586</v>
      </c>
    </row>
    <row r="25" spans="1:7" s="214" customFormat="1" ht="24">
      <c r="A25" s="780" t="s">
        <v>1476</v>
      </c>
      <c r="B25" s="215" t="s">
        <v>1587</v>
      </c>
      <c r="C25" s="1128">
        <f ca="1">ROUND(IF('数据-取费表'!B22&lt;=1,C20*F22*'数据-取费表'!B22/2,C20*(POWER((1+F22),'数据-取费表'!B22/2)-1)),0)</f>
        <v>5361</v>
      </c>
      <c r="D25" s="238"/>
      <c r="E25" s="241"/>
      <c r="F25" s="239"/>
      <c r="G25" s="242" t="s">
        <v>1588</v>
      </c>
    </row>
    <row r="26" spans="1:7" s="214" customFormat="1">
      <c r="A26" s="780" t="s">
        <v>350</v>
      </c>
      <c r="B26" s="215" t="s">
        <v>1511</v>
      </c>
      <c r="C26" s="238">
        <f ca="1">ROUND(IF('数据-取费表'!B22&lt;=1,F21*F22*'数据-取费表'!B22/2,F21*(POWER((1+F22),'数据-取费表'!B22/2)-1)),4)</f>
        <v>2.0000000000000001E-4</v>
      </c>
      <c r="D26" s="238"/>
      <c r="E26" s="241"/>
      <c r="F26" s="239"/>
      <c r="G26" s="243"/>
    </row>
    <row r="27" spans="1:7" s="214" customFormat="1" ht="24.75">
      <c r="A27" s="255" t="s">
        <v>1512</v>
      </c>
      <c r="B27" s="244" t="s">
        <v>1513</v>
      </c>
      <c r="C27" s="245">
        <f ca="1">C28</f>
        <v>1256985</v>
      </c>
      <c r="D27" s="235">
        <f ca="1">C29</f>
        <v>1E-3</v>
      </c>
      <c r="E27" s="236" t="s">
        <v>1514</v>
      </c>
      <c r="F27" s="246">
        <f ca="1">IF(B1="",'数据-取费表'!Q16,INDIRECT("'数据-取费表'!q"&amp;$G$1))</f>
        <v>0.1</v>
      </c>
      <c r="G27" s="247" t="s">
        <v>1515</v>
      </c>
    </row>
    <row r="28" spans="1:7" s="214" customFormat="1" ht="13.5" customHeight="1">
      <c r="A28" s="780" t="s">
        <v>346</v>
      </c>
      <c r="B28" s="248" t="s">
        <v>1516</v>
      </c>
      <c r="C28" s="249">
        <f ca="1">ROUND((C5+C19+C20)*F27,0)</f>
        <v>1256985</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15344150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18638288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16816500</v>
      </c>
      <c r="D34" s="217"/>
      <c r="E34" s="220"/>
      <c r="F34" s="257"/>
      <c r="G34" s="219"/>
    </row>
    <row r="35" spans="1:7" ht="13.5" customHeight="1">
      <c r="A35" s="780" t="s">
        <v>351</v>
      </c>
      <c r="B35" s="215" t="s">
        <v>1527</v>
      </c>
      <c r="C35" s="220">
        <f ca="1">ROUND(C34*F35,0)</f>
        <v>504495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1065045</v>
      </c>
      <c r="D37" s="217">
        <f ca="1">D19</f>
        <v>5605.5</v>
      </c>
      <c r="E37" s="249">
        <f>'数据-取费表'!B35</f>
        <v>190</v>
      </c>
      <c r="F37" s="259"/>
      <c r="G37" s="261"/>
    </row>
    <row r="38" spans="1:7" ht="13.5" customHeight="1">
      <c r="A38" s="780" t="s">
        <v>354</v>
      </c>
      <c r="B38" s="215" t="s">
        <v>1533</v>
      </c>
      <c r="C38" s="220">
        <f ca="1">ROUND(C34*F38,0)</f>
        <v>252248</v>
      </c>
      <c r="D38" s="220"/>
      <c r="E38" s="220"/>
      <c r="F38" s="259">
        <f>'数据-取费表'!B36</f>
        <v>1.4999999999999999E-2</v>
      </c>
      <c r="G38" s="219" t="s">
        <v>1528</v>
      </c>
    </row>
    <row r="39" spans="1:7" s="214" customFormat="1" ht="13.5" customHeight="1">
      <c r="A39" s="255" t="s">
        <v>1534</v>
      </c>
      <c r="B39" s="210" t="s">
        <v>1535</v>
      </c>
      <c r="C39" s="232">
        <f ca="1">ROUND(C33*F20,0)</f>
        <v>372766</v>
      </c>
      <c r="D39" s="232"/>
      <c r="E39" s="232"/>
      <c r="F39" s="233">
        <f>F20</f>
        <v>0.02</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413491</v>
      </c>
      <c r="D41" s="235">
        <f ca="1">C44</f>
        <v>2.0000000000000001E-4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405383</v>
      </c>
      <c r="D42" s="238"/>
      <c r="E42" s="238"/>
      <c r="F42" s="239"/>
      <c r="G42" s="3925" t="s">
        <v>1591</v>
      </c>
    </row>
    <row r="43" spans="1:7" ht="13.5" customHeight="1">
      <c r="A43" s="780" t="s">
        <v>347</v>
      </c>
      <c r="B43" s="215" t="s">
        <v>1545</v>
      </c>
      <c r="C43" s="238">
        <f ca="1">ROUND(IF('数据-取费表'!B22&lt;=1,C39*F22*'数据-取费表'!B20/2,C39*(POWER((1+F22),'数据-取费表'!B20/2)-1)),0)</f>
        <v>8108</v>
      </c>
      <c r="D43" s="238"/>
      <c r="E43" s="238"/>
      <c r="F43" s="239"/>
      <c r="G43" s="3926"/>
    </row>
    <row r="44" spans="1:7" ht="13.5" customHeight="1">
      <c r="A44" s="780" t="s">
        <v>348</v>
      </c>
      <c r="B44" s="215" t="s">
        <v>1546</v>
      </c>
      <c r="C44" s="238">
        <f ca="1">ROUND(IF('数据-取费表'!B22&lt;=1,C40*F22*'数据-取费表'!B20/2,C40*(POWER((1+F22),'数据-取费表'!B20/2)-1)),4)</f>
        <v>2.0000000000000001E-4</v>
      </c>
      <c r="D44" s="238"/>
      <c r="E44" s="238"/>
      <c r="F44" s="239"/>
      <c r="G44" s="3927"/>
    </row>
    <row r="45" spans="1:7" s="214" customFormat="1" ht="13.5" customHeight="1">
      <c r="A45" s="255" t="s">
        <v>1547</v>
      </c>
      <c r="B45" s="244" t="s">
        <v>1513</v>
      </c>
      <c r="C45" s="245">
        <f ca="1">C46</f>
        <v>1901105</v>
      </c>
      <c r="D45" s="235">
        <f ca="1">C47</f>
        <v>1E-3</v>
      </c>
      <c r="E45" s="236" t="s">
        <v>1539</v>
      </c>
      <c r="F45" s="246">
        <f ca="1">F27</f>
        <v>0.1</v>
      </c>
      <c r="G45" s="247" t="s">
        <v>1548</v>
      </c>
    </row>
    <row r="46" spans="1:7" s="214" customFormat="1" ht="13.5" customHeight="1">
      <c r="A46" s="780" t="s">
        <v>346</v>
      </c>
      <c r="B46" s="248" t="s">
        <v>1549</v>
      </c>
      <c r="C46" s="249">
        <f ca="1">ROUND((C33+C39)*F27,0)</f>
        <v>1901105</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22774082</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17763784</v>
      </c>
      <c r="D51" s="232"/>
      <c r="E51" s="232"/>
      <c r="F51" s="264"/>
      <c r="G51" s="234" t="s">
        <v>1560</v>
      </c>
    </row>
    <row r="52" spans="1:7" s="208" customFormat="1" ht="16.5" thickBot="1">
      <c r="A52" s="265" t="s">
        <v>1561</v>
      </c>
      <c r="B52" s="266"/>
      <c r="C52" s="267">
        <f ca="1">C31+C51</f>
        <v>33107934</v>
      </c>
      <c r="D52" s="266"/>
      <c r="E52" s="266"/>
      <c r="F52" s="266"/>
      <c r="G52" s="268"/>
    </row>
    <row r="55" spans="1:7" ht="15">
      <c r="B55" s="270" t="s">
        <v>1562</v>
      </c>
      <c r="C55" s="271"/>
    </row>
    <row r="56" spans="1:7">
      <c r="B56" s="273" t="s">
        <v>802</v>
      </c>
      <c r="C56" s="275">
        <f ca="1">1-C57</f>
        <v>0.46299999999999997</v>
      </c>
    </row>
    <row r="57" spans="1:7">
      <c r="B57" s="273" t="s">
        <v>803</v>
      </c>
      <c r="C57" s="274">
        <f ca="1">ROUND(C51/C52,3)</f>
        <v>0.53700000000000003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v>
      </c>
      <c r="C1" s="198"/>
      <c r="D1" s="198"/>
      <c r="E1" s="198"/>
      <c r="F1" s="198"/>
      <c r="G1" s="1126">
        <f>MATCH(B1,'数据-取费表'!A6:A16,0)+5</f>
        <v>6</v>
      </c>
    </row>
    <row r="2" spans="1:9" s="200" customFormat="1" ht="18" customHeight="1">
      <c r="A2" s="201" t="s">
        <v>1462</v>
      </c>
      <c r="B2" s="202">
        <f ca="1">IF(D2="——",C52,C52-E2)</f>
        <v>3314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1126</v>
      </c>
      <c r="D5" s="211" t="s">
        <v>1469</v>
      </c>
      <c r="E5" s="212" t="s">
        <v>1470</v>
      </c>
      <c r="F5" s="212" t="s">
        <v>1471</v>
      </c>
      <c r="G5" s="213"/>
    </row>
    <row r="6" spans="1:9" s="214" customFormat="1" ht="13.5" customHeight="1">
      <c r="A6" s="778" t="s">
        <v>1472</v>
      </c>
      <c r="B6" s="215" t="s">
        <v>1473</v>
      </c>
      <c r="C6" s="216">
        <f>基准地价修正!E33</f>
        <v>1093</v>
      </c>
      <c r="D6" s="217"/>
      <c r="E6" s="218"/>
      <c r="F6" s="218"/>
      <c r="G6" s="219"/>
    </row>
    <row r="7" spans="1:9" s="214" customFormat="1" ht="13.5" customHeight="1">
      <c r="A7" s="778" t="s">
        <v>1474</v>
      </c>
      <c r="B7" s="215" t="s">
        <v>1475</v>
      </c>
      <c r="C7" s="220">
        <f>ROUND(C6*F7,0)</f>
        <v>33</v>
      </c>
      <c r="D7" s="220"/>
      <c r="E7" s="218"/>
      <c r="F7" s="221">
        <f>IF(项目基本情况!B8="出让",0,'数据-取费表'!B48+'数据-取费表'!B49)</f>
        <v>3.0499999999999999E-2</v>
      </c>
      <c r="G7" s="219"/>
    </row>
    <row r="8" spans="1:9" s="223" customFormat="1">
      <c r="A8" s="778" t="s">
        <v>1476</v>
      </c>
      <c r="B8" s="215" t="s">
        <v>1477</v>
      </c>
      <c r="C8" s="220" t="str">
        <f>IF(G8="已包含在土地购买价格中","0",IF(B1="",'数据-取费表'!B29,IF(G9="全部缴纳",C9+C10,H9)))</f>
        <v>0</v>
      </c>
      <c r="D8" s="222"/>
      <c r="E8" s="220"/>
      <c r="F8" s="221"/>
      <c r="G8" s="1856" t="s">
        <v>451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3395</v>
      </c>
      <c r="H9" s="1137"/>
      <c r="I9" s="1858" t="s">
        <v>1479</v>
      </c>
    </row>
    <row r="10" spans="1:9" s="214" customFormat="1" ht="13.5" customHeight="1">
      <c r="A10" s="779" t="s">
        <v>356</v>
      </c>
      <c r="B10" s="224" t="s">
        <v>1480</v>
      </c>
      <c r="C10" s="225">
        <f ca="1">ROUND(D10*E10/10000,0)</f>
        <v>107</v>
      </c>
      <c r="D10" s="845">
        <f ca="1">IF(B1="",'数据-汇总表'!E6,IF(INDIRECT("'数据-取费表'!c"&amp;$G$1)="住宅",INDIRECT("'数据-取费表'!s"&amp;$G$1),INDIRECT("'数据-取费表'!k"&amp;$G$1)+INDIRECT("'数据-取费表'!s"&amp;$G$1)))</f>
        <v>5605.5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107</v>
      </c>
      <c r="D19" s="849">
        <f ca="1">D9+D10</f>
        <v>5605.5</v>
      </c>
      <c r="E19" s="211">
        <f>'数据-取费表'!B31</f>
        <v>190</v>
      </c>
      <c r="F19" s="231"/>
      <c r="G19" s="1856" t="s">
        <v>436</v>
      </c>
    </row>
    <row r="20" spans="1:7" s="214" customFormat="1" ht="13.5" customHeight="1">
      <c r="A20" s="255" t="s">
        <v>1493</v>
      </c>
      <c r="B20" s="210" t="s">
        <v>1494</v>
      </c>
      <c r="C20" s="232">
        <f ca="1">ROUND((C5+C19)*F20,0)</f>
        <v>25</v>
      </c>
      <c r="D20" s="232"/>
      <c r="E20" s="232"/>
      <c r="F20" s="233">
        <f>'数据-取费表'!B37</f>
        <v>0.02</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55</v>
      </c>
      <c r="D22" s="235">
        <f ca="1">C26</f>
        <v>2.0000000000000001E-4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49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5</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2.0000000000000001E-4</v>
      </c>
      <c r="D26" s="238"/>
      <c r="E26" s="241"/>
      <c r="F26" s="239"/>
      <c r="G26" s="243"/>
    </row>
    <row r="27" spans="1:7" s="214" customFormat="1" ht="24.75">
      <c r="A27" s="255" t="s">
        <v>1512</v>
      </c>
      <c r="B27" s="244" t="s">
        <v>1513</v>
      </c>
      <c r="C27" s="245">
        <f ca="1">C28</f>
        <v>126</v>
      </c>
      <c r="D27" s="235">
        <f ca="1">C29</f>
        <v>1E-3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126</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1537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1682</v>
      </c>
      <c r="D34" s="217"/>
      <c r="E34" s="220"/>
      <c r="F34" s="257">
        <f ca="1">IF('数据-取费表'!B24=0,1,IF(B1="",'数据-取费表'!N16,INDIRECT("'数据-取费表'!n"&amp;$G$1)))</f>
        <v>1</v>
      </c>
      <c r="G34" s="219" t="s">
        <v>1526</v>
      </c>
    </row>
    <row r="35" spans="1:7" ht="13.5" customHeight="1">
      <c r="A35" s="780" t="s">
        <v>351</v>
      </c>
      <c r="B35" s="215" t="s">
        <v>1527</v>
      </c>
      <c r="C35" s="220">
        <f ca="1">ROUND(C34*F35,0)</f>
        <v>50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107</v>
      </c>
      <c r="D37" s="217">
        <f ca="1">D19</f>
        <v>5605.5</v>
      </c>
      <c r="E37" s="249">
        <f>'数据-取费表'!B35</f>
        <v>190</v>
      </c>
      <c r="F37" s="259"/>
      <c r="G37" s="261" t="s">
        <v>1532</v>
      </c>
    </row>
    <row r="38" spans="1:7" ht="13.5" customHeight="1">
      <c r="A38" s="780" t="s">
        <v>354</v>
      </c>
      <c r="B38" s="215" t="s">
        <v>1533</v>
      </c>
      <c r="C38" s="220">
        <f ca="1">ROUND(C34*F38,0)</f>
        <v>25</v>
      </c>
      <c r="D38" s="220"/>
      <c r="E38" s="220"/>
      <c r="F38" s="259">
        <f>'数据-取费表'!B36</f>
        <v>1.4999999999999999E-2</v>
      </c>
      <c r="G38" s="219" t="s">
        <v>1528</v>
      </c>
    </row>
    <row r="39" spans="1:7" s="214" customFormat="1" ht="13.5" customHeight="1">
      <c r="A39" s="255" t="s">
        <v>1534</v>
      </c>
      <c r="B39" s="210" t="s">
        <v>1535</v>
      </c>
      <c r="C39" s="232">
        <f ca="1">ROUND(C33*F20,0)</f>
        <v>37</v>
      </c>
      <c r="D39" s="232"/>
      <c r="E39" s="232"/>
      <c r="F39" s="233">
        <f>F20</f>
        <v>0.02</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42</v>
      </c>
      <c r="D41" s="235">
        <f ca="1">C44</f>
        <v>2.0000000000000001E-4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41</v>
      </c>
      <c r="D42" s="238"/>
      <c r="E42" s="238"/>
      <c r="F42" s="239"/>
      <c r="G42" s="3925" t="s">
        <v>1544</v>
      </c>
    </row>
    <row r="43" spans="1:7" ht="13.5" customHeight="1">
      <c r="A43" s="780" t="s">
        <v>347</v>
      </c>
      <c r="B43" s="215" t="s">
        <v>1545</v>
      </c>
      <c r="C43" s="238">
        <f ca="1">ROUND(IF('数据-取费表'!B22&lt;=1,C39*F22*'数据-取费表'!B21/2,C39*(POWER((1+F22),'数据-取费表'!B21/2)-1)),0)</f>
        <v>1</v>
      </c>
      <c r="D43" s="238"/>
      <c r="E43" s="238"/>
      <c r="F43" s="239"/>
      <c r="G43" s="3926"/>
    </row>
    <row r="44" spans="1:7" ht="13.5" customHeight="1">
      <c r="A44" s="780" t="s">
        <v>348</v>
      </c>
      <c r="B44" s="215" t="s">
        <v>1546</v>
      </c>
      <c r="C44" s="238">
        <f ca="1">ROUND(IF('数据-取费表'!B22&lt;=1,C40*F22*'数据-取费表'!B21/2,C40*(POWER((1+F22),'数据-取费表'!B21/2)-1)),4)</f>
        <v>2.0000000000000001E-4</v>
      </c>
      <c r="D44" s="238"/>
      <c r="E44" s="238"/>
      <c r="F44" s="239"/>
      <c r="G44" s="3927"/>
    </row>
    <row r="45" spans="1:7" s="214" customFormat="1" ht="13.5" customHeight="1">
      <c r="A45" s="255" t="s">
        <v>1547</v>
      </c>
      <c r="B45" s="244" t="s">
        <v>1513</v>
      </c>
      <c r="C45" s="245">
        <f ca="1">C46</f>
        <v>190</v>
      </c>
      <c r="D45" s="235">
        <f ca="1">C47</f>
        <v>1E-3</v>
      </c>
      <c r="E45" s="236" t="s">
        <v>1539</v>
      </c>
      <c r="F45" s="246">
        <f ca="1">F27</f>
        <v>0.1</v>
      </c>
      <c r="G45" s="247" t="s">
        <v>1548</v>
      </c>
    </row>
    <row r="46" spans="1:7" s="214" customFormat="1" ht="13.5" customHeight="1">
      <c r="A46" s="780" t="s">
        <v>346</v>
      </c>
      <c r="B46" s="248" t="s">
        <v>1549</v>
      </c>
      <c r="C46" s="249">
        <f ca="1">ROUND((C33+C39)*F27,0)</f>
        <v>190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2278</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1777</v>
      </c>
      <c r="D51" s="232"/>
      <c r="E51" s="232"/>
      <c r="F51" s="264"/>
      <c r="G51" s="234" t="s">
        <v>1560</v>
      </c>
    </row>
    <row r="52" spans="1:7" s="208" customFormat="1" ht="16.5" thickBot="1">
      <c r="A52" s="265" t="s">
        <v>1561</v>
      </c>
      <c r="B52" s="266"/>
      <c r="C52" s="267">
        <f ca="1">C31+C51</f>
        <v>3314</v>
      </c>
      <c r="D52" s="266"/>
      <c r="E52" s="266"/>
      <c r="F52" s="266"/>
      <c r="G52" s="268"/>
    </row>
    <row r="55" spans="1:7" ht="15">
      <c r="B55" s="270" t="s">
        <v>1562</v>
      </c>
      <c r="C55" s="271"/>
    </row>
    <row r="56" spans="1:7">
      <c r="B56" s="273" t="s">
        <v>802</v>
      </c>
      <c r="C56" s="275">
        <f ca="1">1-C57</f>
        <v>0.46399999999999997</v>
      </c>
    </row>
    <row r="57" spans="1:7">
      <c r="B57" s="273" t="s">
        <v>803</v>
      </c>
      <c r="C57" s="274">
        <f ca="1">ROUND(C51/C52,3)</f>
        <v>0.53600000000000003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9" xr:uid="{00000000-0002-0000-2300-000003000000}">
      <formula1>"部分缴纳,全部缴纳"</formula1>
    </dataValidation>
    <dataValidation type="list" allowBlank="1" showInputMessage="1" showErrorMessage="1" sqref="G2" xr:uid="{00000000-0002-0000-2300-000004000000}">
      <formula1>估价方法</formula1>
    </dataValidation>
    <dataValidation type="list" allowBlank="1" showInputMessage="1" showErrorMessage="1" sqref="D2" xr:uid="{00000000-0002-0000-23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41" zoomScaleNormal="80" zoomScaleSheetLayoutView="100" workbookViewId="0">
      <selection activeCell="C90" sqref="C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5605.5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1093</v>
      </c>
      <c r="C2" s="1999" t="s">
        <v>1935</v>
      </c>
      <c r="D2" s="2000" t="s">
        <v>1936</v>
      </c>
      <c r="E2" s="3420"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2928</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1950</v>
      </c>
      <c r="C3" s="1999" t="s">
        <v>1941</v>
      </c>
      <c r="D3" s="2000" t="s">
        <v>1942</v>
      </c>
      <c r="E3" s="3418" t="s">
        <v>2480</v>
      </c>
      <c r="F3" s="2004" t="s">
        <v>3383</v>
      </c>
      <c r="G3" s="752">
        <f>IF(F3="宗地容积率",'数据-汇总表'!I4,IF(F3="估价对象容积率",'数据-汇总表'!I6,'数据-汇总表'!I7))</f>
        <v>1.2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2308</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935"/>
      <c r="B4" s="3936"/>
      <c r="C4" s="3936"/>
      <c r="D4" s="3937"/>
      <c r="E4" s="3937"/>
      <c r="F4" s="3937"/>
      <c r="G4" s="3937"/>
      <c r="H4" s="3937"/>
      <c r="I4" s="3937"/>
      <c r="J4" s="393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1950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2050</v>
      </c>
      <c r="D5" s="1339">
        <f>ROUND(C6*C17+C20,0)</f>
        <v>2050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1720</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2050</v>
      </c>
      <c r="D6" s="2017"/>
      <c r="E6" s="2018"/>
      <c r="F6" s="2018"/>
      <c r="G6" s="2019"/>
      <c r="H6" s="2019"/>
      <c r="I6" s="2019"/>
      <c r="J6" s="2020"/>
      <c r="K6" s="1384"/>
      <c r="L6" s="2003" t="s">
        <v>1951</v>
      </c>
      <c r="M6" s="864">
        <f>SUMPRODUCT((区片价!B127:B189=I2)*(区片价!C3:G3=E2)*(区片价!C127:G189))</f>
        <v>2050</v>
      </c>
      <c r="N6" s="866">
        <f>SUMPRODUCT((因素修正幅度!B127:B189=I2)*(因素修正幅度!C3:G3=E2)*(因素修正幅度!C127:G189))</f>
        <v>0.05</v>
      </c>
      <c r="O6" s="1119"/>
      <c r="P6" s="1119"/>
      <c r="Q6" s="1119"/>
      <c r="R6" s="1212">
        <v>5</v>
      </c>
      <c r="S6" s="3359">
        <f>ROUND(SUMPRODUCT((B106:B110=R6)*(C105:N105=G2)*(C106:N110)),4)</f>
        <v>0.84799999999999998</v>
      </c>
      <c r="T6" s="3359">
        <f t="shared" si="0"/>
        <v>1653</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六级</v>
      </c>
      <c r="Y7" s="1214" t="s">
        <v>1956</v>
      </c>
      <c r="Z7" s="1215">
        <f>G3</f>
        <v>1.2</v>
      </c>
      <c r="AA7" s="1216"/>
      <c r="AB7" s="1216"/>
      <c r="AC7" s="1217"/>
      <c r="AD7" s="1218"/>
      <c r="AE7" s="1218"/>
      <c r="AF7" s="1218"/>
      <c r="AG7" s="1218"/>
      <c r="AH7" s="1218"/>
      <c r="AI7" s="1218"/>
      <c r="AJ7" s="1219"/>
    </row>
    <row r="8" spans="1:36" ht="25.5">
      <c r="A8" s="3297"/>
      <c r="B8" s="170" t="s">
        <v>1957</v>
      </c>
      <c r="C8" s="2026" t="s">
        <v>3381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932" t="s">
        <v>1960</v>
      </c>
      <c r="X8" s="393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934"/>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93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3247</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3253</v>
      </c>
      <c r="E18" s="3327"/>
      <c r="F18" s="3322" t="s">
        <v>3256</v>
      </c>
      <c r="G18" s="3326">
        <f>ROUND(1-(1/(POWER(1+G24,E18))),4)</f>
        <v>0</v>
      </c>
      <c r="H18" s="3322" t="s">
        <v>3258</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3254</v>
      </c>
      <c r="E19" s="3336"/>
      <c r="F19" s="3337" t="s">
        <v>3257</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939" t="s">
        <v>3259</v>
      </c>
      <c r="B20" s="167" t="s">
        <v>1994</v>
      </c>
      <c r="C20" s="3323">
        <f>ROUND(IF(F21="与级别开发程度一致",0,(G21-E21)/C21),0)</f>
        <v>0</v>
      </c>
      <c r="D20" s="3339" t="s">
        <v>1998</v>
      </c>
      <c r="E20" s="3340"/>
      <c r="F20" s="3945" t="s">
        <v>1995</v>
      </c>
      <c r="G20" s="3946"/>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940"/>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3382</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45056</v>
      </c>
      <c r="H23" s="3341" t="s">
        <v>3260</v>
      </c>
      <c r="I23" s="3342" t="str">
        <f>IF(H23="季度增幅（自定义）",SUMIF(N25:N28,E2,O25:O28),"")</f>
        <v/>
      </c>
      <c r="J23" s="3444" t="s">
        <v>3390</v>
      </c>
      <c r="K23" s="1125"/>
      <c r="L23" s="2055" t="s">
        <v>2004</v>
      </c>
      <c r="M23" s="1328">
        <f>ROUND(SUMIF(地价!B2:G2,E2,地价!B16:G16),0)</f>
        <v>318</v>
      </c>
      <c r="N23" s="2056"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0.8921</v>
      </c>
      <c r="D24" s="2060" t="s">
        <v>2007</v>
      </c>
      <c r="E24" s="1335">
        <f>存贷款利率!E22/100</f>
        <v>4.3499999999999997E-2</v>
      </c>
      <c r="F24" s="2060" t="s">
        <v>1999</v>
      </c>
      <c r="G24" s="768">
        <f>SUMIF(M30:Q30,E2,M33:Q33)</f>
        <v>0.05</v>
      </c>
      <c r="H24" s="2060" t="s">
        <v>2008</v>
      </c>
      <c r="I24" s="769">
        <f>SUMIF('数据-取费表'!C6:C15,E2,'数据-取费表'!F6:F15)/COUNTIF('数据-取费表'!C6:C15,E2)</f>
        <v>34.51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3339</v>
      </c>
      <c r="C25" s="771">
        <f>IF(B25="容积率修正",IF(G3&lt;10,D26,J26),C27)</f>
        <v>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3261</v>
      </c>
      <c r="D26" s="1352">
        <f>IF(E26=G26,F26,IF(G3&lt;10,ROUND(F26+(H26-F26)*(G3-E26)/(G26-E26),4),"——"))</f>
        <v>1</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3262</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1.0149999999999999</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1093</v>
      </c>
      <c r="D30" s="2083"/>
      <c r="E30" s="2046"/>
      <c r="F30" s="2084"/>
      <c r="G30" s="2046"/>
      <c r="H30" s="2046"/>
      <c r="I30" s="2046"/>
      <c r="J30" s="2085"/>
      <c r="K30" s="1119"/>
      <c r="L30" s="3349" t="s">
        <v>1936</v>
      </c>
      <c r="M30" s="3350" t="s">
        <v>1990</v>
      </c>
      <c r="N30" s="3350" t="s">
        <v>1991</v>
      </c>
      <c r="O30" s="3350" t="s">
        <v>1992</v>
      </c>
      <c r="P30" s="3350" t="s">
        <v>1993</v>
      </c>
      <c r="Q30" s="3353"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1949</v>
      </c>
      <c r="D33" s="2098">
        <v>5605.5</v>
      </c>
      <c r="E33" s="773">
        <f>ROUND(C33*D33/10000,0)</f>
        <v>1093</v>
      </c>
      <c r="F33" s="3344" t="s">
        <v>3264</v>
      </c>
      <c r="G33" s="2099"/>
      <c r="H33" s="2099"/>
      <c r="I33" s="2099"/>
      <c r="J33" s="2100"/>
      <c r="K33" s="1119"/>
      <c r="L33" s="3347" t="s">
        <v>3267</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292</v>
      </c>
      <c r="D34" s="2103"/>
      <c r="E34" s="773">
        <f>ROUND(IF(B25="楼层修正",SUM(V2:V16)*M40,C34*D34/10000),0)</f>
        <v>0</v>
      </c>
      <c r="F34" s="2104" t="s">
        <v>2032</v>
      </c>
      <c r="G34" s="2105"/>
      <c r="H34" s="2105"/>
      <c r="I34" s="2105"/>
      <c r="J34" s="2106"/>
      <c r="K34" s="1119"/>
      <c r="L34" s="3347" t="s">
        <v>3268</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3269</v>
      </c>
      <c r="L36" s="3445">
        <f ca="1">'数据-取费表'!B40</f>
        <v>4.3499999999999997E-2</v>
      </c>
      <c r="M36" s="3356">
        <f ca="1">ROUND($L$36*(1+M31),3)</f>
        <v>5.3999999999999999E-2</v>
      </c>
      <c r="N36" s="3356">
        <f ca="1">ROUND($L$36*(1+N31),3)</f>
        <v>5.1999999999999998E-2</v>
      </c>
      <c r="O36" s="3356">
        <f ca="1">ROUND($L$36*(1+O31),3)</f>
        <v>0.05</v>
      </c>
      <c r="P36" s="3356">
        <f ca="1">ROUND($L$36*(1+P31),3)</f>
        <v>4.8000000000000001E-2</v>
      </c>
      <c r="Q36" s="3356">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43"/>
      <c r="B37" s="2113" t="s">
        <v>2036</v>
      </c>
      <c r="C37" s="175">
        <f>ROUND(D5*C22*C23*C24*C28*F37,0)</f>
        <v>1170</v>
      </c>
      <c r="D37" s="2098"/>
      <c r="E37" s="171">
        <f>ROUND(C37*D37/10000,0)</f>
        <v>0</v>
      </c>
      <c r="F37" s="171">
        <f>SUMIF(修正!A57:A68,G2,修正!B57:B68)</f>
        <v>0.6</v>
      </c>
      <c r="G37" s="171">
        <f>ROUND(IF(E2="工业",C37*$M$42,C37*$M$41),0)</f>
        <v>176</v>
      </c>
      <c r="H37" s="171">
        <f>D37</f>
        <v>0</v>
      </c>
      <c r="I37" s="171">
        <f>ROUND(G37*H37/10000,0)</f>
        <v>0</v>
      </c>
      <c r="J37" s="3010"/>
      <c r="K37" s="3357" t="s">
        <v>3270</v>
      </c>
      <c r="L37" s="3355">
        <f ca="1">L36+K38</f>
        <v>4.8499999999999995E-2</v>
      </c>
      <c r="M37" s="3356">
        <f ca="1">ROUND($L$37*(1+M31),3)</f>
        <v>6.0999999999999999E-2</v>
      </c>
      <c r="N37" s="3356">
        <f t="shared" ref="N37:Q37" ca="1" si="3">ROUND($L$37*(1+N31),3)</f>
        <v>5.8000000000000003E-2</v>
      </c>
      <c r="O37" s="3356">
        <f t="shared" ca="1" si="3"/>
        <v>5.6000000000000001E-2</v>
      </c>
      <c r="P37" s="3356">
        <f t="shared" ca="1" si="3"/>
        <v>5.2999999999999999E-2</v>
      </c>
      <c r="Q37" s="3356">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44"/>
      <c r="B38" s="2041" t="s">
        <v>2037</v>
      </c>
      <c r="C38" s="175">
        <f>ROUND(D5*C22*C23*C24*C28*F38,0)</f>
        <v>585</v>
      </c>
      <c r="D38" s="2098"/>
      <c r="E38" s="171">
        <f t="shared" ref="E38:E42" si="4">ROUND(C38*D38/10000,0)</f>
        <v>0</v>
      </c>
      <c r="F38" s="171">
        <f>SUMIF(修正!A57:A68,G2,修正!C57:C68)</f>
        <v>0.3</v>
      </c>
      <c r="G38" s="171">
        <f>ROUND(IF(E2="工业",C38*$M$42,C38*$M$41),0)</f>
        <v>88</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944"/>
      <c r="B39" s="2041" t="s">
        <v>3263</v>
      </c>
      <c r="C39" s="175">
        <f>ROUND(D5*C22*C23*C24*C28*F39,0)</f>
        <v>487</v>
      </c>
      <c r="D39" s="2098"/>
      <c r="E39" s="171">
        <f t="shared" si="4"/>
        <v>0</v>
      </c>
      <c r="F39" s="171">
        <f>SUMIF(修正!A57:A68,G2,修正!D57:D68)</f>
        <v>0.25</v>
      </c>
      <c r="G39" s="171">
        <f>ROUND(IF(E2="工业",C39*$M$42,C39*$M$41),0)</f>
        <v>73</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487</v>
      </c>
      <c r="D40" s="2098"/>
      <c r="E40" s="171">
        <f t="shared" si="4"/>
        <v>0</v>
      </c>
      <c r="F40" s="175">
        <f>SUMIF(修正!A57:A68,G2,修正!E57:E68)</f>
        <v>0.25</v>
      </c>
      <c r="G40" s="171">
        <f>ROUND(IF(E2="工业",C40*$M$42,C40*$M$41),0)</f>
        <v>73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487</v>
      </c>
      <c r="D41" s="2098"/>
      <c r="E41" s="171">
        <f t="shared" si="4"/>
        <v>0</v>
      </c>
      <c r="F41" s="175">
        <f>SUMIF(修正!A57:A68,G2,修正!F57:F68)</f>
        <v>0.25</v>
      </c>
      <c r="G41" s="171">
        <f>ROUND(IF(E2="工业",C41*$M$42,C41*$M$41),0)</f>
        <v>73</v>
      </c>
      <c r="H41" s="171">
        <f t="shared" si="5"/>
        <v>0</v>
      </c>
      <c r="I41" s="171">
        <f t="shared" si="6"/>
        <v>0</v>
      </c>
      <c r="J41" s="2114"/>
      <c r="L41" s="3358"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292</v>
      </c>
      <c r="D42" s="2103"/>
      <c r="E42" s="187">
        <f t="shared" si="4"/>
        <v>0</v>
      </c>
      <c r="F42" s="767">
        <f>SUMIF(修正!A57:A68,G2,修正!G57:G68)</f>
        <v>0.15</v>
      </c>
      <c r="G42" s="187">
        <f>ROUND(IF(E2="工业",C42*$M$42,C42*$M$41),0)</f>
        <v>44</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0.8921</v>
      </c>
      <c r="D44" s="171" t="s">
        <v>1999</v>
      </c>
      <c r="E44" s="2153">
        <f>G24</f>
        <v>0.05</v>
      </c>
      <c r="F44" s="171" t="s">
        <v>2008</v>
      </c>
      <c r="G44" s="183">
        <f>I24</f>
        <v>34.51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3273</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3273</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3273</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1.0149999999999999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63.75">
      <c r="A83" s="2130" t="s">
        <v>2070</v>
      </c>
      <c r="B83" s="2134" t="str">
        <f>估价对象房地状况!G15</f>
        <v>估价对象位于亦庄开发区，周边有瑞森国际大厦、易城时代广场、嘉捷BOX企业汇、亦庄生物医药园，园区建设成熟度较好，产业集聚程度较好</v>
      </c>
      <c r="C83" s="2044" t="s">
        <v>3413</v>
      </c>
      <c r="D83" s="1065">
        <f t="shared" ref="D83:D90" si="22">SUMIF($J$82:$N$82,C83,J83:N83)</f>
        <v>6.4999999999999997E-3</v>
      </c>
      <c r="E83" s="744">
        <f>ROUND(SUM(D83:D90),4)</f>
        <v>1.4999999999999999E-2</v>
      </c>
      <c r="F83" s="1814">
        <f>IF(E2="工业",SUMIF(L1:L12,G2,N1:N12),"——")</f>
        <v>0.05</v>
      </c>
      <c r="G83" s="1063">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76.5">
      <c r="A84" s="2130" t="s">
        <v>2053</v>
      </c>
      <c r="B84" s="2134" t="str">
        <f>估价对象房地状况!G16</f>
        <v>估价对象距离亦庄T1线定海园西站约1.5公里，距离京沪高速约1.2公里；周边有兴58路、兴78路、专185路等公交线路途径并设立站点，综合评价交通便捷度较好。</v>
      </c>
      <c r="C84" s="2044" t="s">
        <v>3414</v>
      </c>
      <c r="D84" s="1065">
        <f t="shared" si="22"/>
        <v>0</v>
      </c>
      <c r="E84" s="747"/>
      <c r="F84" s="1814"/>
      <c r="G84" s="1063">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3274</v>
      </c>
      <c r="B85" s="2134">
        <f>估价对象房地状况!G17</f>
        <v>0</v>
      </c>
      <c r="C85" s="2044" t="s">
        <v>3413</v>
      </c>
      <c r="D85" s="1065">
        <f t="shared" si="22"/>
        <v>2.5000000000000001E-3</v>
      </c>
      <c r="E85" s="747"/>
      <c r="F85" s="1814"/>
      <c r="G85" s="1063">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3414</v>
      </c>
      <c r="D86" s="1065">
        <f t="shared" si="22"/>
        <v>0</v>
      </c>
      <c r="E86" s="747"/>
      <c r="F86" s="1814"/>
      <c r="G86" s="1063">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140.25">
      <c r="A87" s="2130" t="s">
        <v>2059</v>
      </c>
      <c r="B87" s="1326" t="str">
        <f>估价对象房地状况!G19</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c r="C87" s="2044" t="s">
        <v>3413</v>
      </c>
      <c r="D87" s="1065">
        <f t="shared" si="22"/>
        <v>1.5E-3</v>
      </c>
      <c r="E87" s="747"/>
      <c r="F87" s="1814"/>
      <c r="G87" s="1063">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估价对象所在区域基础设施水平-五通</v>
      </c>
      <c r="C88" s="2044" t="s">
        <v>3413</v>
      </c>
      <c r="D88" s="1065">
        <f t="shared" si="22"/>
        <v>3.0000000000000001E-3</v>
      </c>
      <c r="E88" s="747"/>
      <c r="F88" s="1814"/>
      <c r="G88" s="1063">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3413</v>
      </c>
      <c r="D89" s="1065">
        <f t="shared" si="22"/>
        <v>1.5E-3</v>
      </c>
      <c r="E89" s="747"/>
      <c r="F89" s="1814"/>
      <c r="G89" s="1063">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该园区内无污染型企业，绿化情况一般，卫生条件一般，整体环境状况一般</v>
      </c>
      <c r="C90" s="2044" t="s">
        <v>3414</v>
      </c>
      <c r="D90" s="1065">
        <f t="shared" si="22"/>
        <v>0</v>
      </c>
      <c r="E90" s="748"/>
      <c r="F90" s="1814"/>
      <c r="G90" s="1063">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941" t="s">
        <v>3298</v>
      </c>
      <c r="B103" s="3941"/>
      <c r="C103" s="3941"/>
      <c r="D103" s="3941"/>
      <c r="E103" s="3941"/>
      <c r="F103" s="3941"/>
      <c r="G103" s="3941"/>
      <c r="H103" s="3941"/>
      <c r="I103" s="3941"/>
      <c r="J103" s="3941"/>
      <c r="K103" s="3388"/>
      <c r="L103" s="3388"/>
      <c r="M103" s="3388"/>
      <c r="N103" s="3388"/>
    </row>
    <row r="104" spans="1:14">
      <c r="A104" s="3942" t="s">
        <v>3299</v>
      </c>
      <c r="B104" s="3942" t="s">
        <v>3300</v>
      </c>
      <c r="C104" s="3389" t="s">
        <v>3301</v>
      </c>
      <c r="D104" s="3390"/>
      <c r="E104" s="3390"/>
      <c r="F104" s="3390"/>
      <c r="G104" s="3390"/>
      <c r="H104" s="3390"/>
      <c r="I104" s="3390"/>
      <c r="J104" s="3391"/>
      <c r="K104" s="3392"/>
      <c r="L104" s="3392"/>
      <c r="M104" s="3392"/>
      <c r="N104" s="3392"/>
    </row>
    <row r="105" spans="1:14">
      <c r="A105" s="3942"/>
      <c r="B105" s="3942"/>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928"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92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92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92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92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929"/>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93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931" t="s">
        <v>3315</v>
      </c>
      <c r="B113" s="3931"/>
      <c r="C113" s="3931"/>
      <c r="D113" s="3931"/>
      <c r="E113" s="3931"/>
      <c r="F113" s="3931"/>
      <c r="G113" s="3931"/>
      <c r="H113" s="3931"/>
      <c r="I113" s="3931"/>
      <c r="J113" s="393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1.2</v>
      </c>
      <c r="C116" s="3398" t="s">
        <v>3317</v>
      </c>
      <c r="D116" s="3399">
        <f>SUMPRODUCT((A118:A122=F116)*(B117:M117=H116)*B118:M122)</f>
        <v>0.63959999999999995</v>
      </c>
      <c r="E116" s="2000" t="s">
        <v>3318</v>
      </c>
      <c r="F116" s="3400" t="str">
        <f>E2</f>
        <v>工业</v>
      </c>
      <c r="G116" s="2000" t="s">
        <v>3319</v>
      </c>
      <c r="H116" s="3400" t="str">
        <f>G2</f>
        <v>六级</v>
      </c>
      <c r="I116" s="2000"/>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0.98360000000000003</v>
      </c>
      <c r="C118" s="3386">
        <f>B118</f>
        <v>0.98360000000000003</v>
      </c>
      <c r="D118" s="3386">
        <f>ROUND(0.949-0.014*B116,4)</f>
        <v>0.93220000000000003</v>
      </c>
      <c r="E118" s="3386">
        <f>D118</f>
        <v>0.93220000000000003</v>
      </c>
      <c r="F118" s="3386">
        <f>E118</f>
        <v>0.93220000000000003</v>
      </c>
      <c r="G118" s="3386">
        <f>F118</f>
        <v>0.93220000000000003</v>
      </c>
      <c r="H118" s="3386">
        <f>G118</f>
        <v>0.93220000000000003</v>
      </c>
      <c r="I118" s="3386">
        <f>ROUND(0.8486-0.018*B116,4)</f>
        <v>0.82699999999999996</v>
      </c>
      <c r="J118" s="3386">
        <f t="shared" ref="J118:M122" si="35">I118</f>
        <v>0.82699999999999996</v>
      </c>
      <c r="K118" s="3386">
        <f t="shared" si="35"/>
        <v>0.82699999999999996</v>
      </c>
      <c r="L118" s="3386">
        <f t="shared" si="35"/>
        <v>0.82699999999999996</v>
      </c>
      <c r="M118" s="3409">
        <f t="shared" si="35"/>
        <v>0.82699999999999996</v>
      </c>
      <c r="N118" s="3396"/>
    </row>
    <row r="119" spans="1:14">
      <c r="A119" s="3408" t="s">
        <v>3333</v>
      </c>
      <c r="B119" s="3386">
        <f>ROUND(0.993-0.0112*B116,4)</f>
        <v>0.97960000000000003</v>
      </c>
      <c r="C119" s="3386">
        <f>B119</f>
        <v>0.97960000000000003</v>
      </c>
      <c r="D119" s="3386">
        <f>ROUND(0.9415-0.0142*B116,4)</f>
        <v>0.92449999999999999</v>
      </c>
      <c r="E119" s="3386">
        <f t="shared" ref="E119:H120" si="36">D119</f>
        <v>0.92449999999999999</v>
      </c>
      <c r="F119" s="3386">
        <f t="shared" si="36"/>
        <v>0.92449999999999999</v>
      </c>
      <c r="G119" s="3386">
        <f t="shared" si="36"/>
        <v>0.92449999999999999</v>
      </c>
      <c r="H119" s="3386">
        <f t="shared" si="36"/>
        <v>0.92449999999999999</v>
      </c>
      <c r="I119" s="3386">
        <f>ROUND(0.838-0.0182*B116,4)</f>
        <v>0.81620000000000004</v>
      </c>
      <c r="J119" s="3386">
        <f t="shared" si="35"/>
        <v>0.81620000000000004</v>
      </c>
      <c r="K119" s="3386">
        <f t="shared" si="35"/>
        <v>0.81620000000000004</v>
      </c>
      <c r="L119" s="3386">
        <f t="shared" si="35"/>
        <v>0.81620000000000004</v>
      </c>
      <c r="M119" s="3409">
        <f t="shared" si="35"/>
        <v>0.81620000000000004</v>
      </c>
      <c r="N119" s="3396"/>
    </row>
    <row r="120" spans="1:14">
      <c r="A120" s="3408" t="s">
        <v>3334</v>
      </c>
      <c r="B120" s="3386">
        <f>ROUND(0.9448-0.0115*B116,4)</f>
        <v>0.93100000000000005</v>
      </c>
      <c r="C120" s="3386">
        <f>B120</f>
        <v>0.93100000000000005</v>
      </c>
      <c r="D120" s="3386">
        <f>ROUND(0.937-0.0145*B116,4)</f>
        <v>0.91959999999999997</v>
      </c>
      <c r="E120" s="3386">
        <f t="shared" si="36"/>
        <v>0.91959999999999997</v>
      </c>
      <c r="F120" s="3386">
        <f t="shared" si="36"/>
        <v>0.91959999999999997</v>
      </c>
      <c r="G120" s="3386">
        <f t="shared" si="36"/>
        <v>0.91959999999999997</v>
      </c>
      <c r="H120" s="3386">
        <f t="shared" si="36"/>
        <v>0.91959999999999997</v>
      </c>
      <c r="I120" s="3386">
        <f>ROUND(0.7965-0.0185*B116,4)</f>
        <v>0.77429999999999999</v>
      </c>
      <c r="J120" s="3386">
        <f t="shared" si="35"/>
        <v>0.77429999999999999</v>
      </c>
      <c r="K120" s="3386">
        <f t="shared" si="35"/>
        <v>0.77429999999999999</v>
      </c>
      <c r="L120" s="3386">
        <f t="shared" si="35"/>
        <v>0.77429999999999999</v>
      </c>
      <c r="M120" s="3409">
        <f t="shared" si="35"/>
        <v>0.77429999999999999</v>
      </c>
      <c r="N120" s="3396"/>
    </row>
    <row r="121" spans="1:14" ht="13.5" thickBot="1">
      <c r="A121" s="3410" t="s">
        <v>3335</v>
      </c>
      <c r="B121" s="3411">
        <f>ROUND(0.7836-0.012*B116,4)</f>
        <v>0.76919999999999999</v>
      </c>
      <c r="C121" s="3411">
        <f>B121</f>
        <v>0.76919999999999999</v>
      </c>
      <c r="D121" s="3411">
        <f>ROUND(0.753-0.015*B116,4)</f>
        <v>0.73499999999999999</v>
      </c>
      <c r="E121" s="3411">
        <f>D121</f>
        <v>0.73499999999999999</v>
      </c>
      <c r="F121" s="3411">
        <f>E121</f>
        <v>0.73499999999999999</v>
      </c>
      <c r="G121" s="3411">
        <f>ROUND(0.6612-0.018*B116,4)</f>
        <v>0.63959999999999995</v>
      </c>
      <c r="H121" s="3411">
        <f>G121</f>
        <v>0.63959999999999995</v>
      </c>
      <c r="I121" s="3411">
        <f>ROUND(0.5905-0.019*B116,4)</f>
        <v>0.56769999999999998</v>
      </c>
      <c r="J121" s="3411">
        <f t="shared" si="35"/>
        <v>0.56769999999999998</v>
      </c>
      <c r="K121" s="3411">
        <f t="shared" si="35"/>
        <v>0.56769999999999998</v>
      </c>
      <c r="L121" s="3411">
        <f t="shared" si="35"/>
        <v>0.56769999999999998</v>
      </c>
      <c r="M121" s="3412">
        <f t="shared" si="35"/>
        <v>0.56769999999999998</v>
      </c>
      <c r="N121" s="3396"/>
    </row>
    <row r="122" spans="1:14">
      <c r="A122" s="3413" t="s">
        <v>2613</v>
      </c>
      <c r="B122" s="3386">
        <f>ROUND(0.9404-0.0106*B116,4)</f>
        <v>0.92769999999999997</v>
      </c>
      <c r="C122" s="3386">
        <f>B122</f>
        <v>0.92769999999999997</v>
      </c>
      <c r="D122" s="3386">
        <f>ROUND(0.8955-0.0135*B116,4)</f>
        <v>0.87929999999999997</v>
      </c>
      <c r="E122" s="3386">
        <f t="shared" ref="E122:H122" si="37">D122</f>
        <v>0.87929999999999997</v>
      </c>
      <c r="F122" s="3386">
        <f t="shared" si="37"/>
        <v>0.87929999999999997</v>
      </c>
      <c r="G122" s="3386">
        <f t="shared" si="37"/>
        <v>0.87929999999999997</v>
      </c>
      <c r="H122" s="3386">
        <f t="shared" si="37"/>
        <v>0.87929999999999997</v>
      </c>
      <c r="I122" s="3386">
        <f>ROUND(0.7632-0.0166*B116,4)</f>
        <v>0.74329999999999996</v>
      </c>
      <c r="J122" s="3386">
        <f t="shared" si="35"/>
        <v>0.74329999999999996</v>
      </c>
      <c r="K122" s="3386">
        <f t="shared" si="35"/>
        <v>0.74329999999999996</v>
      </c>
      <c r="L122" s="3386">
        <f t="shared" si="35"/>
        <v>0.74329999999999996</v>
      </c>
      <c r="M122" s="3409">
        <f t="shared" si="35"/>
        <v>0.74329999999999996</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954" t="s">
        <v>2608</v>
      </c>
      <c r="B20" s="3947" t="s">
        <v>2629</v>
      </c>
      <c r="C20" s="3101" t="s">
        <v>2440</v>
      </c>
      <c r="D20" s="3102"/>
      <c r="E20" s="3103">
        <v>1</v>
      </c>
      <c r="F20" s="3104" t="s">
        <v>2441</v>
      </c>
      <c r="G20" s="3104"/>
    </row>
    <row r="21" spans="1:13" ht="19.5" customHeight="1">
      <c r="A21" s="3955"/>
      <c r="B21" s="3948"/>
      <c r="C21" s="3105" t="s">
        <v>2442</v>
      </c>
      <c r="D21" s="3106"/>
      <c r="E21" s="3107">
        <v>1</v>
      </c>
      <c r="F21" s="3104" t="s">
        <v>2443</v>
      </c>
      <c r="G21" s="3104"/>
    </row>
    <row r="22" spans="1:13" ht="19.5" customHeight="1">
      <c r="A22" s="3955"/>
      <c r="B22" s="3948"/>
      <c r="C22" s="3105" t="s">
        <v>2444</v>
      </c>
      <c r="D22" s="3106"/>
      <c r="E22" s="3107">
        <v>0.9</v>
      </c>
      <c r="F22" s="3104" t="s">
        <v>2445</v>
      </c>
      <c r="G22" s="3104"/>
    </row>
    <row r="23" spans="1:13" ht="19.5" customHeight="1">
      <c r="A23" s="3955"/>
      <c r="B23" s="3948"/>
      <c r="C23" s="3105" t="s">
        <v>2446</v>
      </c>
      <c r="D23" s="3106"/>
      <c r="E23" s="3107">
        <v>0.9</v>
      </c>
      <c r="F23" s="3104" t="s">
        <v>2447</v>
      </c>
      <c r="G23" s="3104"/>
    </row>
    <row r="24" spans="1:13" ht="19.5" customHeight="1">
      <c r="A24" s="3955"/>
      <c r="B24" s="3948"/>
      <c r="C24" s="3105" t="s">
        <v>2448</v>
      </c>
      <c r="D24" s="3106"/>
      <c r="E24" s="3107">
        <v>0.8</v>
      </c>
      <c r="F24" s="3104" t="s">
        <v>2449</v>
      </c>
      <c r="G24" s="3104"/>
    </row>
    <row r="25" spans="1:13" ht="19.5" customHeight="1" thickBot="1">
      <c r="A25" s="3956"/>
      <c r="B25" s="3949"/>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950" t="s">
        <v>2632</v>
      </c>
      <c r="B27" s="3947" t="s">
        <v>2613</v>
      </c>
      <c r="C27" s="3101" t="s">
        <v>2453</v>
      </c>
      <c r="D27" s="3102"/>
      <c r="E27" s="3103">
        <v>1</v>
      </c>
      <c r="F27" s="3104" t="s">
        <v>2454</v>
      </c>
      <c r="G27" s="3104"/>
    </row>
    <row r="28" spans="1:13" ht="19.5" customHeight="1">
      <c r="A28" s="3951"/>
      <c r="B28" s="3948"/>
      <c r="C28" s="3105" t="s">
        <v>2455</v>
      </c>
      <c r="D28" s="3106"/>
      <c r="E28" s="3107">
        <v>1</v>
      </c>
      <c r="F28" s="3104" t="s">
        <v>2456</v>
      </c>
      <c r="G28" s="3104"/>
    </row>
    <row r="29" spans="1:13" ht="19.5" customHeight="1">
      <c r="A29" s="3951"/>
      <c r="B29" s="3948"/>
      <c r="C29" s="3105" t="s">
        <v>2457</v>
      </c>
      <c r="D29" s="3106"/>
      <c r="E29" s="3107">
        <v>0.8</v>
      </c>
      <c r="F29" s="3104" t="s">
        <v>2458</v>
      </c>
      <c r="G29" s="3104"/>
    </row>
    <row r="30" spans="1:13" ht="19.5" customHeight="1">
      <c r="A30" s="3951"/>
      <c r="B30" s="3948"/>
      <c r="C30" s="3105" t="s">
        <v>2459</v>
      </c>
      <c r="D30" s="3106"/>
      <c r="E30" s="3107">
        <v>0.8</v>
      </c>
      <c r="F30" s="3104" t="s">
        <v>2460</v>
      </c>
      <c r="G30" s="3104"/>
    </row>
    <row r="31" spans="1:13" ht="19.5" customHeight="1">
      <c r="A31" s="3951"/>
      <c r="B31" s="3948"/>
      <c r="C31" s="3105" t="s">
        <v>2461</v>
      </c>
      <c r="D31" s="3106"/>
      <c r="E31" s="3107">
        <v>0.8</v>
      </c>
      <c r="F31" s="3104" t="s">
        <v>2462</v>
      </c>
      <c r="G31" s="3104"/>
    </row>
    <row r="32" spans="1:13" ht="19.5" customHeight="1">
      <c r="A32" s="3951"/>
      <c r="B32" s="3948"/>
      <c r="C32" s="3105" t="s">
        <v>2463</v>
      </c>
      <c r="D32" s="3106"/>
      <c r="E32" s="3107">
        <v>0.7</v>
      </c>
      <c r="F32" s="3104" t="s">
        <v>2464</v>
      </c>
      <c r="G32" s="3104"/>
    </row>
    <row r="33" spans="1:7" ht="19.5" customHeight="1">
      <c r="A33" s="3951"/>
      <c r="B33" s="3948"/>
      <c r="C33" s="3105" t="s">
        <v>2465</v>
      </c>
      <c r="D33" s="3106"/>
      <c r="E33" s="3107">
        <v>0.8</v>
      </c>
      <c r="F33" s="3104" t="s">
        <v>2466</v>
      </c>
      <c r="G33" s="3104"/>
    </row>
    <row r="34" spans="1:7" ht="19.5" customHeight="1">
      <c r="A34" s="3951"/>
      <c r="B34" s="3948"/>
      <c r="C34" s="3105" t="s">
        <v>2467</v>
      </c>
      <c r="D34" s="3106"/>
      <c r="E34" s="3107">
        <v>0.6</v>
      </c>
      <c r="F34" s="3104" t="s">
        <v>2468</v>
      </c>
      <c r="G34" s="3104"/>
    </row>
    <row r="35" spans="1:7" ht="19.5" customHeight="1">
      <c r="A35" s="3951"/>
      <c r="B35" s="3948"/>
      <c r="C35" s="3105" t="s">
        <v>2469</v>
      </c>
      <c r="D35" s="3106"/>
      <c r="E35" s="3107">
        <v>0.2</v>
      </c>
      <c r="F35" s="3104" t="s">
        <v>2470</v>
      </c>
      <c r="G35" s="3104"/>
    </row>
    <row r="36" spans="1:7" ht="19.5" customHeight="1">
      <c r="A36" s="3951"/>
      <c r="B36" s="3948"/>
      <c r="C36" s="3105" t="s">
        <v>2471</v>
      </c>
      <c r="D36" s="3106"/>
      <c r="E36" s="3107">
        <v>0.2</v>
      </c>
      <c r="F36" s="3104" t="s">
        <v>2472</v>
      </c>
      <c r="G36" s="3104"/>
    </row>
    <row r="37" spans="1:7" ht="19.5" customHeight="1">
      <c r="A37" s="3951"/>
      <c r="B37" s="3953" t="s">
        <v>2633</v>
      </c>
      <c r="C37" s="3105" t="s">
        <v>2473</v>
      </c>
      <c r="D37" s="3106"/>
      <c r="E37" s="3107">
        <v>0.6</v>
      </c>
      <c r="F37" s="3104" t="s">
        <v>2474</v>
      </c>
      <c r="G37" s="3104"/>
    </row>
    <row r="38" spans="1:7" ht="19.5" customHeight="1">
      <c r="A38" s="3951"/>
      <c r="B38" s="3948"/>
      <c r="C38" s="3105" t="s">
        <v>2475</v>
      </c>
      <c r="D38" s="3106"/>
      <c r="E38" s="3107">
        <v>0.6</v>
      </c>
      <c r="F38" s="3104" t="s">
        <v>2476</v>
      </c>
      <c r="G38" s="3104"/>
    </row>
    <row r="39" spans="1:7" ht="19.5" customHeight="1" thickBot="1">
      <c r="A39" s="3952"/>
      <c r="B39" s="3949"/>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954" t="s">
        <v>2611</v>
      </c>
      <c r="B41" s="3947" t="s">
        <v>2635</v>
      </c>
      <c r="C41" s="3101" t="s">
        <v>2480</v>
      </c>
      <c r="D41" s="3102"/>
      <c r="E41" s="3103">
        <v>1</v>
      </c>
      <c r="F41" s="3104" t="s">
        <v>2481</v>
      </c>
      <c r="G41" s="3104"/>
    </row>
    <row r="42" spans="1:7" ht="19.5" customHeight="1">
      <c r="A42" s="3955"/>
      <c r="B42" s="3948"/>
      <c r="C42" s="3105" t="s">
        <v>2482</v>
      </c>
      <c r="D42" s="3106"/>
      <c r="E42" s="3107">
        <v>1</v>
      </c>
      <c r="F42" s="3104" t="s">
        <v>2483</v>
      </c>
      <c r="G42" s="3104"/>
    </row>
    <row r="43" spans="1:7" ht="19.5" customHeight="1">
      <c r="A43" s="3955"/>
      <c r="B43" s="3957"/>
      <c r="C43" s="3105" t="s">
        <v>2484</v>
      </c>
      <c r="D43" s="3106"/>
      <c r="E43" s="3107">
        <v>1.5</v>
      </c>
      <c r="F43" s="3104" t="s">
        <v>2485</v>
      </c>
      <c r="G43" s="3104"/>
    </row>
    <row r="44" spans="1:7" ht="19.5" customHeight="1">
      <c r="A44" s="3955"/>
      <c r="B44" s="3116" t="s">
        <v>2636</v>
      </c>
      <c r="C44" s="3105" t="s">
        <v>2637</v>
      </c>
      <c r="D44" s="3106"/>
      <c r="E44" s="3107">
        <v>2</v>
      </c>
      <c r="F44" s="3104" t="s">
        <v>2486</v>
      </c>
      <c r="G44" s="3104"/>
    </row>
    <row r="45" spans="1:7" ht="19.5" customHeight="1">
      <c r="A45" s="3955"/>
      <c r="B45" s="3953" t="s">
        <v>2638</v>
      </c>
      <c r="C45" s="3105" t="s">
        <v>2487</v>
      </c>
      <c r="D45" s="3106"/>
      <c r="E45" s="3107">
        <v>1</v>
      </c>
      <c r="F45" s="3104" t="s">
        <v>2488</v>
      </c>
      <c r="G45" s="3104"/>
    </row>
    <row r="46" spans="1:7" ht="19.5" customHeight="1">
      <c r="A46" s="3955"/>
      <c r="B46" s="3948"/>
      <c r="C46" s="3105" t="s">
        <v>2489</v>
      </c>
      <c r="D46" s="3106"/>
      <c r="E46" s="3107">
        <v>1</v>
      </c>
      <c r="F46" s="3104" t="s">
        <v>2490</v>
      </c>
      <c r="G46" s="3104"/>
    </row>
    <row r="47" spans="1:7" ht="19.5" customHeight="1">
      <c r="A47" s="3955"/>
      <c r="B47" s="3948"/>
      <c r="C47" s="3105" t="s">
        <v>2491</v>
      </c>
      <c r="D47" s="3106"/>
      <c r="E47" s="3107">
        <v>1</v>
      </c>
      <c r="F47" s="3104" t="s">
        <v>2492</v>
      </c>
      <c r="G47" s="3104"/>
    </row>
    <row r="48" spans="1:7" ht="19.5" customHeight="1">
      <c r="A48" s="3955"/>
      <c r="B48" s="3948"/>
      <c r="C48" s="3105" t="s">
        <v>2493</v>
      </c>
      <c r="D48" s="3106"/>
      <c r="E48" s="3107">
        <v>1</v>
      </c>
      <c r="F48" s="3104" t="s">
        <v>2494</v>
      </c>
      <c r="G48" s="3104"/>
    </row>
    <row r="49" spans="1:7" ht="19.5" customHeight="1">
      <c r="A49" s="3955"/>
      <c r="B49" s="3948"/>
      <c r="C49" s="3105" t="s">
        <v>2495</v>
      </c>
      <c r="D49" s="3106"/>
      <c r="E49" s="3107">
        <v>1</v>
      </c>
      <c r="F49" s="3104" t="s">
        <v>2496</v>
      </c>
      <c r="G49" s="3104"/>
    </row>
    <row r="50" spans="1:7" ht="19.5" customHeight="1">
      <c r="A50" s="3955"/>
      <c r="B50" s="3948"/>
      <c r="C50" s="3105" t="s">
        <v>2497</v>
      </c>
      <c r="D50" s="3106"/>
      <c r="E50" s="3107">
        <v>1</v>
      </c>
      <c r="F50" s="3104" t="s">
        <v>2498</v>
      </c>
      <c r="G50" s="3104"/>
    </row>
    <row r="51" spans="1:7" ht="19.5" customHeight="1" thickBot="1">
      <c r="A51" s="3956"/>
      <c r="B51" s="3949"/>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953" t="s">
        <v>2652</v>
      </c>
      <c r="C73" s="3090" t="s">
        <v>2653</v>
      </c>
      <c r="D73" s="3090" t="s">
        <v>2654</v>
      </c>
      <c r="E73" s="3116">
        <v>0.2</v>
      </c>
      <c r="F73" s="3116">
        <v>25</v>
      </c>
    </row>
    <row r="74" spans="1:7" ht="24">
      <c r="A74" s="3116">
        <v>2</v>
      </c>
      <c r="B74" s="3948"/>
      <c r="C74" s="3090" t="s">
        <v>2655</v>
      </c>
      <c r="D74" s="3090" t="s">
        <v>2656</v>
      </c>
      <c r="E74" s="3116">
        <v>0.2</v>
      </c>
      <c r="F74" s="3116">
        <v>25</v>
      </c>
    </row>
    <row r="75" spans="1:7" ht="24">
      <c r="A75" s="3116">
        <v>3</v>
      </c>
      <c r="B75" s="3948"/>
      <c r="C75" s="3090" t="s">
        <v>2657</v>
      </c>
      <c r="D75" s="3090" t="s">
        <v>2658</v>
      </c>
      <c r="E75" s="3116">
        <v>0.2</v>
      </c>
      <c r="F75" s="3116">
        <v>25</v>
      </c>
    </row>
    <row r="76" spans="1:7" ht="13.5">
      <c r="A76" s="3116">
        <v>4</v>
      </c>
      <c r="B76" s="3948"/>
      <c r="C76" s="3090" t="s">
        <v>2659</v>
      </c>
      <c r="D76" s="3090" t="s">
        <v>2660</v>
      </c>
      <c r="E76" s="3116">
        <v>0.15</v>
      </c>
      <c r="F76" s="3116">
        <v>20</v>
      </c>
    </row>
    <row r="77" spans="1:7" ht="24">
      <c r="A77" s="3116">
        <v>5</v>
      </c>
      <c r="B77" s="3948"/>
      <c r="C77" s="3090" t="s">
        <v>2661</v>
      </c>
      <c r="D77" s="3090" t="s">
        <v>2662</v>
      </c>
      <c r="E77" s="3116">
        <v>0.15</v>
      </c>
      <c r="F77" s="3116">
        <v>20</v>
      </c>
    </row>
    <row r="78" spans="1:7" ht="24">
      <c r="A78" s="3116">
        <v>6</v>
      </c>
      <c r="B78" s="3948"/>
      <c r="C78" s="3090" t="s">
        <v>2663</v>
      </c>
      <c r="D78" s="3090" t="s">
        <v>2664</v>
      </c>
      <c r="E78" s="3116">
        <v>0.15</v>
      </c>
      <c r="F78" s="3116">
        <v>20</v>
      </c>
    </row>
    <row r="79" spans="1:7" ht="24">
      <c r="A79" s="3116">
        <v>7</v>
      </c>
      <c r="B79" s="3948"/>
      <c r="C79" s="3090" t="s">
        <v>2665</v>
      </c>
      <c r="D79" s="3090" t="s">
        <v>2666</v>
      </c>
      <c r="E79" s="3116">
        <v>0.15</v>
      </c>
      <c r="F79" s="3116">
        <v>20</v>
      </c>
    </row>
    <row r="80" spans="1:7" ht="24">
      <c r="A80" s="3116">
        <v>8</v>
      </c>
      <c r="B80" s="3948"/>
      <c r="C80" s="3090" t="s">
        <v>2667</v>
      </c>
      <c r="D80" s="3090" t="s">
        <v>2668</v>
      </c>
      <c r="E80" s="3116">
        <v>0.1</v>
      </c>
      <c r="F80" s="3116">
        <v>15</v>
      </c>
    </row>
    <row r="81" spans="1:6" ht="24">
      <c r="A81" s="3116">
        <v>9</v>
      </c>
      <c r="B81" s="3948"/>
      <c r="C81" s="3090" t="s">
        <v>2669</v>
      </c>
      <c r="D81" s="3090" t="s">
        <v>2670</v>
      </c>
      <c r="E81" s="3116">
        <v>0.1</v>
      </c>
      <c r="F81" s="3116">
        <v>15</v>
      </c>
    </row>
    <row r="82" spans="1:6" ht="24">
      <c r="A82" s="3116">
        <v>10</v>
      </c>
      <c r="B82" s="3948"/>
      <c r="C82" s="3090" t="s">
        <v>2671</v>
      </c>
      <c r="D82" s="3090" t="s">
        <v>2672</v>
      </c>
      <c r="E82" s="3116">
        <v>0.1</v>
      </c>
      <c r="F82" s="3116">
        <v>15</v>
      </c>
    </row>
    <row r="83" spans="1:6" ht="24">
      <c r="A83" s="3116">
        <v>11</v>
      </c>
      <c r="B83" s="3948"/>
      <c r="C83" s="3090" t="s">
        <v>2673</v>
      </c>
      <c r="D83" s="3090" t="s">
        <v>2674</v>
      </c>
      <c r="E83" s="3116">
        <v>0.1</v>
      </c>
      <c r="F83" s="3116">
        <v>15</v>
      </c>
    </row>
    <row r="84" spans="1:6" ht="24">
      <c r="A84" s="3116">
        <v>12</v>
      </c>
      <c r="B84" s="3948"/>
      <c r="C84" s="3090" t="s">
        <v>2675</v>
      </c>
      <c r="D84" s="3090" t="s">
        <v>2676</v>
      </c>
      <c r="E84" s="3116">
        <v>0.1</v>
      </c>
      <c r="F84" s="3116">
        <v>15</v>
      </c>
    </row>
    <row r="85" spans="1:6" ht="13.5">
      <c r="A85" s="3116">
        <v>13</v>
      </c>
      <c r="B85" s="3948"/>
      <c r="C85" s="3090" t="s">
        <v>2677</v>
      </c>
      <c r="D85" s="3090" t="s">
        <v>2678</v>
      </c>
      <c r="E85" s="3116">
        <v>0.1</v>
      </c>
      <c r="F85" s="3116">
        <v>15</v>
      </c>
    </row>
    <row r="86" spans="1:6" ht="13.5">
      <c r="A86" s="3116">
        <v>14</v>
      </c>
      <c r="B86" s="3948"/>
      <c r="C86" s="3090" t="s">
        <v>2679</v>
      </c>
      <c r="D86" s="3090" t="s">
        <v>2680</v>
      </c>
      <c r="E86" s="3116">
        <v>0.1</v>
      </c>
      <c r="F86" s="3116">
        <v>15</v>
      </c>
    </row>
    <row r="87" spans="1:6" ht="13.5">
      <c r="A87" s="3116">
        <v>15</v>
      </c>
      <c r="B87" s="3948"/>
      <c r="C87" s="3090" t="s">
        <v>2681</v>
      </c>
      <c r="D87" s="3090" t="s">
        <v>2682</v>
      </c>
      <c r="E87" s="3116">
        <v>0.1</v>
      </c>
      <c r="F87" s="3116">
        <v>15</v>
      </c>
    </row>
    <row r="88" spans="1:6" ht="24">
      <c r="A88" s="3116">
        <v>16</v>
      </c>
      <c r="B88" s="3948"/>
      <c r="C88" s="3090" t="s">
        <v>2683</v>
      </c>
      <c r="D88" s="3090" t="s">
        <v>2684</v>
      </c>
      <c r="E88" s="3116">
        <v>0.1</v>
      </c>
      <c r="F88" s="3116">
        <v>15</v>
      </c>
    </row>
    <row r="89" spans="1:6" ht="24">
      <c r="A89" s="3116">
        <v>17</v>
      </c>
      <c r="B89" s="3957"/>
      <c r="C89" s="3090" t="s">
        <v>2685</v>
      </c>
      <c r="D89" s="3090" t="s">
        <v>2686</v>
      </c>
      <c r="E89" s="3116">
        <v>0.1</v>
      </c>
      <c r="F89" s="3116">
        <v>15</v>
      </c>
    </row>
    <row r="90" spans="1:6" ht="13.5">
      <c r="A90" s="3116">
        <v>18</v>
      </c>
      <c r="B90" s="3953" t="s">
        <v>2687</v>
      </c>
      <c r="C90" s="3090" t="s">
        <v>2688</v>
      </c>
      <c r="D90" s="3090" t="s">
        <v>2689</v>
      </c>
      <c r="E90" s="3116">
        <v>0.2</v>
      </c>
      <c r="F90" s="3116">
        <v>25</v>
      </c>
    </row>
    <row r="91" spans="1:6" ht="24">
      <c r="A91" s="3116">
        <v>19</v>
      </c>
      <c r="B91" s="3948"/>
      <c r="C91" s="3090" t="s">
        <v>2690</v>
      </c>
      <c r="D91" s="3090" t="s">
        <v>2691</v>
      </c>
      <c r="E91" s="3116">
        <v>0.2</v>
      </c>
      <c r="F91" s="3116">
        <v>25</v>
      </c>
    </row>
    <row r="92" spans="1:6" ht="13.5">
      <c r="A92" s="3116">
        <v>20</v>
      </c>
      <c r="B92" s="3948"/>
      <c r="C92" s="3090" t="s">
        <v>2692</v>
      </c>
      <c r="D92" s="3090" t="s">
        <v>2693</v>
      </c>
      <c r="E92" s="3116">
        <v>0.15</v>
      </c>
      <c r="F92" s="3116">
        <v>20</v>
      </c>
    </row>
    <row r="93" spans="1:6" ht="13.5">
      <c r="A93" s="3116">
        <v>21</v>
      </c>
      <c r="B93" s="3948"/>
      <c r="C93" s="3090" t="s">
        <v>2694</v>
      </c>
      <c r="D93" s="3090" t="s">
        <v>2695</v>
      </c>
      <c r="E93" s="3116">
        <v>0.15</v>
      </c>
      <c r="F93" s="3116">
        <v>20</v>
      </c>
    </row>
    <row r="94" spans="1:6" ht="13.5">
      <c r="A94" s="3116">
        <v>22</v>
      </c>
      <c r="B94" s="3948"/>
      <c r="C94" s="3090" t="s">
        <v>2696</v>
      </c>
      <c r="D94" s="3090" t="s">
        <v>2697</v>
      </c>
      <c r="E94" s="3116">
        <v>0.15</v>
      </c>
      <c r="F94" s="3116">
        <v>20</v>
      </c>
    </row>
    <row r="95" spans="1:6" ht="36">
      <c r="A95" s="3116">
        <v>23</v>
      </c>
      <c r="B95" s="3948"/>
      <c r="C95" s="3090" t="s">
        <v>2698</v>
      </c>
      <c r="D95" s="3090" t="s">
        <v>2699</v>
      </c>
      <c r="E95" s="3116">
        <v>0.15</v>
      </c>
      <c r="F95" s="3116">
        <v>20</v>
      </c>
    </row>
    <row r="96" spans="1:6" ht="13.5">
      <c r="A96" s="3116">
        <v>24</v>
      </c>
      <c r="B96" s="3948"/>
      <c r="C96" s="3090" t="s">
        <v>2700</v>
      </c>
      <c r="D96" s="3090" t="s">
        <v>2701</v>
      </c>
      <c r="E96" s="3116">
        <v>0.1</v>
      </c>
      <c r="F96" s="3116">
        <v>15</v>
      </c>
    </row>
    <row r="97" spans="1:6" ht="13.5">
      <c r="A97" s="3116">
        <v>25</v>
      </c>
      <c r="B97" s="3948"/>
      <c r="C97" s="3090" t="s">
        <v>2702</v>
      </c>
      <c r="D97" s="3090" t="s">
        <v>2703</v>
      </c>
      <c r="E97" s="3116">
        <v>0.1</v>
      </c>
      <c r="F97" s="3116">
        <v>15</v>
      </c>
    </row>
    <row r="98" spans="1:6" ht="24">
      <c r="A98" s="3116">
        <v>26</v>
      </c>
      <c r="B98" s="3948"/>
      <c r="C98" s="3090" t="s">
        <v>2704</v>
      </c>
      <c r="D98" s="3090" t="s">
        <v>2705</v>
      </c>
      <c r="E98" s="3116">
        <v>0.1</v>
      </c>
      <c r="F98" s="3116">
        <v>15</v>
      </c>
    </row>
    <row r="99" spans="1:6" ht="24">
      <c r="A99" s="3116">
        <v>27</v>
      </c>
      <c r="B99" s="3948"/>
      <c r="C99" s="3090" t="s">
        <v>2706</v>
      </c>
      <c r="D99" s="3090" t="s">
        <v>2707</v>
      </c>
      <c r="E99" s="3116">
        <v>0.1</v>
      </c>
      <c r="F99" s="3116">
        <v>15</v>
      </c>
    </row>
    <row r="100" spans="1:6" ht="13.5">
      <c r="A100" s="3116">
        <v>28</v>
      </c>
      <c r="B100" s="3948"/>
      <c r="C100" s="3090" t="s">
        <v>2708</v>
      </c>
      <c r="D100" s="3090" t="s">
        <v>2709</v>
      </c>
      <c r="E100" s="3116">
        <v>0.1</v>
      </c>
      <c r="F100" s="3116">
        <v>15</v>
      </c>
    </row>
    <row r="101" spans="1:6" ht="13.5">
      <c r="A101" s="3116">
        <v>29</v>
      </c>
      <c r="B101" s="3948"/>
      <c r="C101" s="3090" t="s">
        <v>2710</v>
      </c>
      <c r="D101" s="3090" t="s">
        <v>2711</v>
      </c>
      <c r="E101" s="3116">
        <v>0.1</v>
      </c>
      <c r="F101" s="3116">
        <v>15</v>
      </c>
    </row>
    <row r="102" spans="1:6" ht="13.5">
      <c r="A102" s="3116">
        <v>30</v>
      </c>
      <c r="B102" s="3948"/>
      <c r="C102" s="3090" t="s">
        <v>2712</v>
      </c>
      <c r="D102" s="3090" t="s">
        <v>2713</v>
      </c>
      <c r="E102" s="3116">
        <v>0.1</v>
      </c>
      <c r="F102" s="3116">
        <v>15</v>
      </c>
    </row>
    <row r="103" spans="1:6" ht="24">
      <c r="A103" s="3116">
        <v>31</v>
      </c>
      <c r="B103" s="3948"/>
      <c r="C103" s="3090" t="s">
        <v>2714</v>
      </c>
      <c r="D103" s="3090" t="s">
        <v>2715</v>
      </c>
      <c r="E103" s="3116">
        <v>0.1</v>
      </c>
      <c r="F103" s="3116">
        <v>15</v>
      </c>
    </row>
    <row r="104" spans="1:6" ht="24">
      <c r="A104" s="3116">
        <v>32</v>
      </c>
      <c r="B104" s="3948"/>
      <c r="C104" s="3090" t="s">
        <v>2716</v>
      </c>
      <c r="D104" s="3090" t="s">
        <v>2717</v>
      </c>
      <c r="E104" s="3116">
        <v>0.1</v>
      </c>
      <c r="F104" s="3116">
        <v>15</v>
      </c>
    </row>
    <row r="105" spans="1:6" ht="24">
      <c r="A105" s="3116">
        <v>33</v>
      </c>
      <c r="B105" s="3948"/>
      <c r="C105" s="3090" t="s">
        <v>2718</v>
      </c>
      <c r="D105" s="3090" t="s">
        <v>2719</v>
      </c>
      <c r="E105" s="3116">
        <v>0.1</v>
      </c>
      <c r="F105" s="3116">
        <v>15</v>
      </c>
    </row>
    <row r="106" spans="1:6" ht="24">
      <c r="A106" s="3116">
        <v>34</v>
      </c>
      <c r="B106" s="3957"/>
      <c r="C106" s="3090" t="s">
        <v>2720</v>
      </c>
      <c r="D106" s="3090" t="s">
        <v>2721</v>
      </c>
      <c r="E106" s="3116">
        <v>0.1</v>
      </c>
      <c r="F106" s="3116">
        <v>15</v>
      </c>
    </row>
    <row r="107" spans="1:6" ht="24">
      <c r="A107" s="3116">
        <v>35</v>
      </c>
      <c r="B107" s="3953" t="s">
        <v>2722</v>
      </c>
      <c r="C107" s="3116" t="s">
        <v>2723</v>
      </c>
      <c r="D107" s="3090" t="s">
        <v>2724</v>
      </c>
      <c r="E107" s="3116">
        <v>0.15</v>
      </c>
      <c r="F107" s="3116">
        <v>20</v>
      </c>
    </row>
    <row r="108" spans="1:6" ht="13.5">
      <c r="A108" s="3116">
        <v>36</v>
      </c>
      <c r="B108" s="3948"/>
      <c r="C108" s="3116" t="s">
        <v>2725</v>
      </c>
      <c r="D108" s="3090" t="s">
        <v>2726</v>
      </c>
      <c r="E108" s="3116">
        <v>0.15</v>
      </c>
      <c r="F108" s="3116">
        <v>20</v>
      </c>
    </row>
    <row r="109" spans="1:6" ht="13.5">
      <c r="A109" s="3116">
        <v>37</v>
      </c>
      <c r="B109" s="3948"/>
      <c r="C109" s="3116" t="s">
        <v>2727</v>
      </c>
      <c r="D109" s="3090" t="s">
        <v>2728</v>
      </c>
      <c r="E109" s="3116">
        <v>0.15</v>
      </c>
      <c r="F109" s="3116">
        <v>20</v>
      </c>
    </row>
    <row r="110" spans="1:6" ht="13.5">
      <c r="A110" s="3116">
        <v>38</v>
      </c>
      <c r="B110" s="3948"/>
      <c r="C110" s="3116" t="s">
        <v>2729</v>
      </c>
      <c r="D110" s="3090" t="s">
        <v>2730</v>
      </c>
      <c r="E110" s="3116">
        <v>0.1</v>
      </c>
      <c r="F110" s="3116">
        <v>15</v>
      </c>
    </row>
    <row r="111" spans="1:6" ht="24">
      <c r="A111" s="3116">
        <v>39</v>
      </c>
      <c r="B111" s="3948"/>
      <c r="C111" s="3116" t="s">
        <v>2731</v>
      </c>
      <c r="D111" s="3090" t="s">
        <v>2732</v>
      </c>
      <c r="E111" s="3116">
        <v>0.1</v>
      </c>
      <c r="F111" s="3116">
        <v>15</v>
      </c>
    </row>
    <row r="112" spans="1:6" ht="24">
      <c r="A112" s="3116">
        <v>40</v>
      </c>
      <c r="B112" s="3957"/>
      <c r="C112" s="3116" t="s">
        <v>2733</v>
      </c>
      <c r="D112" s="3090" t="s">
        <v>2734</v>
      </c>
      <c r="E112" s="3116">
        <v>0.1</v>
      </c>
      <c r="F112" s="3116">
        <v>15</v>
      </c>
    </row>
    <row r="113" spans="1:6" ht="13.5">
      <c r="A113" s="3116">
        <v>41</v>
      </c>
      <c r="B113" s="3958" t="s">
        <v>2735</v>
      </c>
      <c r="C113" s="3116" t="s">
        <v>2736</v>
      </c>
      <c r="D113" s="3090" t="s">
        <v>2737</v>
      </c>
      <c r="E113" s="3116">
        <v>0.1</v>
      </c>
      <c r="F113" s="3116">
        <v>15</v>
      </c>
    </row>
    <row r="114" spans="1:6" ht="13.5">
      <c r="A114" s="3116">
        <v>42</v>
      </c>
      <c r="B114" s="3958"/>
      <c r="C114" s="3116" t="s">
        <v>2738</v>
      </c>
      <c r="D114" s="3090" t="s">
        <v>2739</v>
      </c>
      <c r="E114" s="3116">
        <v>0.1</v>
      </c>
      <c r="F114" s="3116">
        <v>15</v>
      </c>
    </row>
    <row r="115" spans="1:6" ht="24">
      <c r="A115" s="3116">
        <v>43</v>
      </c>
      <c r="B115" s="3958"/>
      <c r="C115" s="3116" t="s">
        <v>2740</v>
      </c>
      <c r="D115" s="3090" t="s">
        <v>2741</v>
      </c>
      <c r="E115" s="3116">
        <v>0.1</v>
      </c>
      <c r="F115" s="3116">
        <v>15</v>
      </c>
    </row>
    <row r="116" spans="1:6" ht="13.5">
      <c r="A116" s="3116">
        <v>44</v>
      </c>
      <c r="B116" s="3953" t="s">
        <v>2742</v>
      </c>
      <c r="C116" s="3116" t="s">
        <v>2743</v>
      </c>
      <c r="D116" s="3090" t="s">
        <v>2744</v>
      </c>
      <c r="E116" s="3116">
        <v>0.1</v>
      </c>
      <c r="F116" s="3116">
        <v>15</v>
      </c>
    </row>
    <row r="117" spans="1:6" ht="24">
      <c r="A117" s="3116">
        <v>45</v>
      </c>
      <c r="B117" s="3957"/>
      <c r="C117" s="3090" t="s">
        <v>2745</v>
      </c>
      <c r="D117" s="3090" t="s">
        <v>2746</v>
      </c>
      <c r="E117" s="3116">
        <v>0.1</v>
      </c>
      <c r="F117" s="3116">
        <v>15</v>
      </c>
    </row>
    <row r="118" spans="1:6" ht="24">
      <c r="A118" s="3116">
        <v>46</v>
      </c>
      <c r="B118" s="3953" t="s">
        <v>2747</v>
      </c>
      <c r="C118" s="3116" t="s">
        <v>2748</v>
      </c>
      <c r="D118" s="3090" t="s">
        <v>2749</v>
      </c>
      <c r="E118" s="3116">
        <v>0.1</v>
      </c>
      <c r="F118" s="3116">
        <v>15</v>
      </c>
    </row>
    <row r="119" spans="1:6" ht="24">
      <c r="A119" s="3116">
        <v>47</v>
      </c>
      <c r="B119" s="3957"/>
      <c r="C119" s="3116" t="s">
        <v>2750</v>
      </c>
      <c r="D119" s="3090" t="s">
        <v>2751</v>
      </c>
      <c r="E119" s="3116">
        <v>0.1</v>
      </c>
      <c r="F119" s="3116">
        <v>15</v>
      </c>
    </row>
    <row r="120" spans="1:6" ht="13.5">
      <c r="A120" s="3116">
        <v>48</v>
      </c>
      <c r="B120" s="3953" t="s">
        <v>2752</v>
      </c>
      <c r="C120" s="3116" t="s">
        <v>2753</v>
      </c>
      <c r="D120" s="3090" t="s">
        <v>2754</v>
      </c>
      <c r="E120" s="3116">
        <v>0.1</v>
      </c>
      <c r="F120" s="3116">
        <v>15</v>
      </c>
    </row>
    <row r="121" spans="1:6" ht="13.5">
      <c r="A121" s="3116">
        <v>49</v>
      </c>
      <c r="B121" s="3957"/>
      <c r="C121" s="3116" t="s">
        <v>2755</v>
      </c>
      <c r="D121" s="3090" t="s">
        <v>2756</v>
      </c>
      <c r="E121" s="3116">
        <v>0.1</v>
      </c>
      <c r="F121" s="3116">
        <v>15</v>
      </c>
    </row>
    <row r="122" spans="1:6" ht="24">
      <c r="A122" s="3116">
        <v>50</v>
      </c>
      <c r="B122" s="3958" t="s">
        <v>2757</v>
      </c>
      <c r="C122" s="3116" t="s">
        <v>2758</v>
      </c>
      <c r="D122" s="3090" t="s">
        <v>2759</v>
      </c>
      <c r="E122" s="3116">
        <v>0.1</v>
      </c>
      <c r="F122" s="3116">
        <v>15</v>
      </c>
    </row>
    <row r="123" spans="1:6" ht="24">
      <c r="A123" s="3116">
        <v>51</v>
      </c>
      <c r="B123" s="3958"/>
      <c r="C123" s="3116" t="s">
        <v>2760</v>
      </c>
      <c r="D123" s="3090" t="s">
        <v>2761</v>
      </c>
      <c r="E123" s="3116">
        <v>0.1</v>
      </c>
      <c r="F123" s="3116">
        <v>15</v>
      </c>
    </row>
    <row r="124" spans="1:6" ht="24">
      <c r="A124" s="3116">
        <v>52</v>
      </c>
      <c r="B124" s="3958" t="s">
        <v>2762</v>
      </c>
      <c r="C124" s="3116" t="s">
        <v>2763</v>
      </c>
      <c r="D124" s="3090" t="s">
        <v>2764</v>
      </c>
      <c r="E124" s="3116">
        <v>0.1</v>
      </c>
      <c r="F124" s="3116">
        <v>15</v>
      </c>
    </row>
    <row r="125" spans="1:6" ht="24">
      <c r="A125" s="3116">
        <v>53</v>
      </c>
      <c r="B125" s="3958"/>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958" t="s">
        <v>2770</v>
      </c>
      <c r="C127" s="3116" t="s">
        <v>2771</v>
      </c>
      <c r="D127" s="3090" t="s">
        <v>2772</v>
      </c>
      <c r="E127" s="3116">
        <v>0.1</v>
      </c>
      <c r="F127" s="3116">
        <v>15</v>
      </c>
    </row>
    <row r="128" spans="1:6" ht="13.5">
      <c r="A128" s="3116">
        <v>56</v>
      </c>
      <c r="B128" s="3958"/>
      <c r="C128" s="3116" t="s">
        <v>2773</v>
      </c>
      <c r="D128" s="3090" t="s">
        <v>2774</v>
      </c>
      <c r="E128" s="3116">
        <v>0.1</v>
      </c>
      <c r="F128" s="3116">
        <v>15</v>
      </c>
    </row>
    <row r="129" spans="1:6" ht="24">
      <c r="A129" s="3116">
        <v>57</v>
      </c>
      <c r="B129" s="3958"/>
      <c r="C129" s="3116" t="s">
        <v>2775</v>
      </c>
      <c r="D129" s="3090" t="s">
        <v>2776</v>
      </c>
      <c r="E129" s="3116">
        <v>0.1</v>
      </c>
      <c r="F129" s="3116">
        <v>15</v>
      </c>
    </row>
    <row r="130" spans="1:6" ht="24">
      <c r="A130" s="3116">
        <v>58</v>
      </c>
      <c r="B130" s="3958" t="s">
        <v>2777</v>
      </c>
      <c r="C130" s="3116" t="s">
        <v>2778</v>
      </c>
      <c r="D130" s="3090" t="s">
        <v>2779</v>
      </c>
      <c r="E130" s="3116">
        <v>0.1</v>
      </c>
      <c r="F130" s="3116">
        <v>15</v>
      </c>
    </row>
    <row r="131" spans="1:6" ht="13.5">
      <c r="A131" s="3116">
        <v>59</v>
      </c>
      <c r="B131" s="3958"/>
      <c r="C131" s="3116" t="s">
        <v>2780</v>
      </c>
      <c r="D131" s="3090" t="s">
        <v>2781</v>
      </c>
      <c r="E131" s="3116">
        <v>0.1</v>
      </c>
      <c r="F131" s="3116">
        <v>15</v>
      </c>
    </row>
    <row r="132" spans="1:6" ht="13.5">
      <c r="A132" s="3116">
        <v>60</v>
      </c>
      <c r="B132" s="3953" t="s">
        <v>2782</v>
      </c>
      <c r="C132" s="3116" t="s">
        <v>2783</v>
      </c>
      <c r="D132" s="3090" t="s">
        <v>2784</v>
      </c>
      <c r="E132" s="3116">
        <v>0.1</v>
      </c>
      <c r="F132" s="3116">
        <v>15</v>
      </c>
    </row>
    <row r="133" spans="1:6" ht="13.5">
      <c r="A133" s="3116">
        <v>61</v>
      </c>
      <c r="B133" s="3957"/>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958" t="s">
        <v>2790</v>
      </c>
      <c r="C135" s="3116" t="s">
        <v>2791</v>
      </c>
      <c r="D135" s="3090" t="s">
        <v>2792</v>
      </c>
      <c r="E135" s="3116">
        <v>0.1</v>
      </c>
      <c r="F135" s="3116">
        <v>15</v>
      </c>
    </row>
    <row r="136" spans="1:6" ht="13.5">
      <c r="A136" s="3116">
        <v>64</v>
      </c>
      <c r="B136" s="3958"/>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1.1748000000000001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1.1174999999999999</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1"/>
      <c r="C2" s="3641"/>
      <c r="D2" s="3641"/>
      <c r="E2" s="3641"/>
    </row>
    <row r="3" spans="1:5" ht="18">
      <c r="A3" s="3642" t="str">
        <f>IF(项目基本情况!B9="房地产市场价值","估价结果一览表（市场价值不需“结果表-1”）","估价结果一览表")</f>
        <v>估价结果一览表（市场价值不需“结果表-1”）</v>
      </c>
      <c r="B3" s="3642"/>
      <c r="C3" s="3642"/>
      <c r="D3" s="3642"/>
      <c r="E3" s="3642"/>
    </row>
    <row r="4" spans="1:5" ht="19.5" thickBot="1">
      <c r="A4" s="1493"/>
      <c r="B4" s="3640" t="s">
        <v>917</v>
      </c>
      <c r="C4" s="3640"/>
      <c r="D4" s="3640"/>
      <c r="E4" s="1493"/>
    </row>
    <row r="5" spans="1:5" ht="16.5" thickTop="1">
      <c r="A5" s="1491"/>
      <c r="B5" s="3638" t="s">
        <v>909</v>
      </c>
      <c r="C5" s="1494" t="s">
        <v>910</v>
      </c>
      <c r="D5" s="850" t="e">
        <f ca="1">结果表!H101</f>
        <v>#REF!</v>
      </c>
      <c r="E5" s="1491"/>
    </row>
    <row r="6" spans="1:5" ht="15.75">
      <c r="A6" s="1491"/>
      <c r="B6" s="3638"/>
      <c r="C6" s="1494" t="s">
        <v>911</v>
      </c>
      <c r="D6" s="850" t="e">
        <f ca="1">NUMBERSTRING(INT(D5*10000),2)&amp;"元整"</f>
        <v>#REF!</v>
      </c>
      <c r="E6" s="1491"/>
    </row>
    <row r="7" spans="1:5" ht="15.75">
      <c r="A7" s="1491"/>
      <c r="B7" s="3643"/>
      <c r="C7" s="1495" t="s">
        <v>912</v>
      </c>
      <c r="D7" s="851" t="e">
        <f ca="1">结果表!H102</f>
        <v>#REF!</v>
      </c>
      <c r="E7" s="1491"/>
    </row>
    <row r="8" spans="1:5" ht="15.75">
      <c r="A8" s="1491"/>
      <c r="B8" s="3644" t="str">
        <f>结果表!E103</f>
        <v>2.估价师知悉的法定优先受偿款</v>
      </c>
      <c r="C8" s="1496" t="s">
        <v>913</v>
      </c>
      <c r="D8" s="851">
        <f>结果表!H103</f>
        <v>0</v>
      </c>
      <c r="E8" s="1491"/>
    </row>
    <row r="9" spans="1:5" ht="15.75">
      <c r="A9" s="1491"/>
      <c r="B9" s="364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37" t="str">
        <f>结果表!E107</f>
        <v>3.房地产抵押价值</v>
      </c>
      <c r="C13" s="1499" t="s">
        <v>910</v>
      </c>
      <c r="D13" s="853" t="e">
        <f ca="1">结果表!H107</f>
        <v>#REF!</v>
      </c>
      <c r="E13" s="1491"/>
    </row>
    <row r="14" spans="1:5" ht="15.75">
      <c r="A14" s="1491"/>
      <c r="B14" s="3638"/>
      <c r="C14" s="1494" t="s">
        <v>911</v>
      </c>
      <c r="D14" s="850" t="e">
        <f ca="1">NUMBERSTRING(INT(D13*10000),2)&amp;"元整"</f>
        <v>#REF!</v>
      </c>
      <c r="E14" s="1491"/>
    </row>
    <row r="15" spans="1:5" ht="15">
      <c r="A15" s="1491"/>
      <c r="B15" s="3643"/>
      <c r="C15" s="1495" t="s">
        <v>921</v>
      </c>
      <c r="D15" s="859" t="e">
        <f ca="1">结果表!H108</f>
        <v>#REF!</v>
      </c>
      <c r="E15" s="1491"/>
    </row>
    <row r="16" spans="1:5" ht="15">
      <c r="A16" s="1491"/>
      <c r="B16" s="3644" t="str">
        <f>结果表!E109</f>
        <v>——</v>
      </c>
      <c r="C16" s="1499" t="s">
        <v>922</v>
      </c>
      <c r="D16" s="1500" t="str">
        <f>结果表!H109</f>
        <v>——</v>
      </c>
      <c r="E16" s="1491"/>
    </row>
    <row r="17" spans="1:5" ht="15.75">
      <c r="A17" s="1491"/>
      <c r="B17" s="3645"/>
      <c r="C17" s="1494" t="s">
        <v>923</v>
      </c>
      <c r="D17" s="850" t="e">
        <f>NUMBERSTRING(INT(D16*10000),2)&amp;"元整"</f>
        <v>#VALUE!</v>
      </c>
      <c r="E17" s="1491"/>
    </row>
    <row r="18" spans="1:5" ht="15">
      <c r="A18" s="1491"/>
      <c r="B18" s="3646"/>
      <c r="C18" s="1495" t="s">
        <v>912</v>
      </c>
      <c r="D18" s="859" t="str">
        <f>结果表!H110</f>
        <v>——</v>
      </c>
      <c r="E18" s="1491"/>
    </row>
    <row r="19" spans="1:5" ht="15.75">
      <c r="A19" s="1491"/>
      <c r="B19" s="3637" t="str">
        <f>结果表!E111</f>
        <v>——</v>
      </c>
      <c r="C19" s="1499" t="s">
        <v>910</v>
      </c>
      <c r="D19" s="851" t="str">
        <f>结果表!H111</f>
        <v>——</v>
      </c>
      <c r="E19" s="1491"/>
    </row>
    <row r="20" spans="1:5" ht="15.75">
      <c r="A20" s="1491"/>
      <c r="B20" s="3638"/>
      <c r="C20" s="1494" t="s">
        <v>923</v>
      </c>
      <c r="D20" s="850" t="e">
        <f>NUMBERSTRING(INT(D19*10000),2)&amp;"元整"</f>
        <v>#VALUE!</v>
      </c>
      <c r="E20" s="1491"/>
    </row>
    <row r="21" spans="1:5" ht="15.75" thickBot="1">
      <c r="A21" s="1491"/>
      <c r="B21" s="363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27572</v>
      </c>
      <c r="C2" s="2" t="s">
        <v>106</v>
      </c>
      <c r="D2" s="199"/>
      <c r="E2" s="199"/>
      <c r="F2" s="199"/>
      <c r="G2" s="199"/>
    </row>
    <row r="3" spans="1:7" s="200" customFormat="1" ht="18" customHeight="1" thickBot="1">
      <c r="A3" s="203" t="s">
        <v>58</v>
      </c>
      <c r="B3" s="204">
        <f ca="1">ROUND(B2*10000/'数据-汇总表'!E3,0)</f>
        <v>49187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107</v>
      </c>
      <c r="D10" s="845">
        <f>'数据-汇总表'!E6</f>
        <v>5605.5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107</v>
      </c>
      <c r="D19" s="849">
        <f>'数据-汇总表'!E3</f>
        <v>5605.5</v>
      </c>
      <c r="E19" s="211">
        <f>'数据-取费表'!B31</f>
        <v>190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911</v>
      </c>
      <c r="D22" s="235">
        <f ca="1">C26</f>
        <v>2.0000000000000001E-4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2113</v>
      </c>
      <c r="D27" s="235">
        <f>C29</f>
        <v>1E-3</v>
      </c>
      <c r="E27" s="236" t="s">
        <v>99</v>
      </c>
      <c r="F27" s="246">
        <f>'数据-取费表'!Q16</f>
        <v>0.1</v>
      </c>
      <c r="G27" s="247" t="s">
        <v>431</v>
      </c>
    </row>
    <row r="28" spans="1:7" s="214" customFormat="1" ht="13.5" customHeight="1">
      <c r="A28" s="780" t="s">
        <v>349</v>
      </c>
      <c r="B28" s="248" t="s">
        <v>424</v>
      </c>
      <c r="C28" s="249">
        <f>ROUND((C5+C19+C20)*F27*'数据-取费表'!B21/'数据-取费表'!B20,0)</f>
        <v>2113</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25795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1682</v>
      </c>
      <c r="D34" s="217"/>
      <c r="E34" s="220"/>
      <c r="F34" s="257">
        <f>IF('数据-取费表'!B24=0,1,'数据-取费表'!N16)</f>
        <v>1</v>
      </c>
      <c r="G34" s="219" t="s">
        <v>89</v>
      </c>
    </row>
    <row r="35" spans="1:7" ht="13.5" customHeight="1">
      <c r="A35" s="780" t="s">
        <v>351</v>
      </c>
      <c r="B35" s="215" t="s">
        <v>33</v>
      </c>
      <c r="C35" s="220">
        <f>ROUND(C34*F35,0)</f>
        <v>50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107</v>
      </c>
      <c r="D37" s="217">
        <f>'数据-汇总表'!E3</f>
        <v>5605.5</v>
      </c>
      <c r="E37" s="249">
        <f>'数据-取费表'!B35</f>
        <v>190</v>
      </c>
      <c r="F37" s="259"/>
      <c r="G37" s="261" t="s">
        <v>92</v>
      </c>
    </row>
    <row r="38" spans="1:7" ht="13.5" customHeight="1">
      <c r="A38" s="780" t="s">
        <v>354</v>
      </c>
      <c r="B38" s="215" t="s">
        <v>36</v>
      </c>
      <c r="C38" s="220">
        <f>ROUND(C34*F38,0)</f>
        <v>25</v>
      </c>
      <c r="D38" s="220"/>
      <c r="E38" s="220"/>
      <c r="F38" s="259">
        <f>'数据-取费表'!B36</f>
        <v>1.4999999999999999E-2</v>
      </c>
      <c r="G38" s="219" t="s">
        <v>90</v>
      </c>
    </row>
    <row r="39" spans="1:7" s="214" customFormat="1" ht="13.5" customHeight="1">
      <c r="A39" s="777" t="s">
        <v>338</v>
      </c>
      <c r="B39" s="210" t="s">
        <v>77</v>
      </c>
      <c r="C39" s="232">
        <f>ROUND(C33*F20,0)</f>
        <v>37</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42</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41</v>
      </c>
      <c r="D42" s="238"/>
      <c r="E42" s="238"/>
      <c r="F42" s="239"/>
      <c r="G42" s="3925" t="s">
        <v>94</v>
      </c>
    </row>
    <row r="43" spans="1:7" ht="13.5" customHeight="1">
      <c r="A43" s="780" t="s">
        <v>347</v>
      </c>
      <c r="B43" s="215" t="s">
        <v>426</v>
      </c>
      <c r="C43" s="238">
        <f ca="1">ROUND(IF('数据-取费表'!B22&lt;=1,C39*F22*'数据-取费表'!B21/2,C39*(POWER((1+F22),'数据-取费表'!B21/2)-1)),0)</f>
        <v>1</v>
      </c>
      <c r="D43" s="238"/>
      <c r="E43" s="238"/>
      <c r="F43" s="239"/>
      <c r="G43" s="3926"/>
    </row>
    <row r="44" spans="1:7" ht="13.5" customHeight="1">
      <c r="A44" s="780" t="s">
        <v>348</v>
      </c>
      <c r="B44" s="215" t="s">
        <v>428</v>
      </c>
      <c r="C44" s="238">
        <f ca="1">ROUND(IF('数据-取费表'!B22&lt;=1,C40*F22*'数据-取费表'!B21/2,C40*(POWER((1+F22),'数据-取费表'!B21/2)-1)),4)</f>
        <v>2.0000000000000001E-4</v>
      </c>
      <c r="D44" s="238"/>
      <c r="E44" s="238"/>
      <c r="F44" s="239"/>
      <c r="G44" s="3927"/>
    </row>
    <row r="45" spans="1:7" s="214" customFormat="1" ht="13.5" customHeight="1">
      <c r="A45" s="777" t="s">
        <v>341</v>
      </c>
      <c r="B45" s="244" t="s">
        <v>85</v>
      </c>
      <c r="C45" s="245">
        <f>C46</f>
        <v>190</v>
      </c>
      <c r="D45" s="235">
        <f>C47</f>
        <v>1E-3</v>
      </c>
      <c r="E45" s="236" t="s">
        <v>102</v>
      </c>
      <c r="F45" s="246"/>
      <c r="G45" s="247" t="s">
        <v>434</v>
      </c>
    </row>
    <row r="46" spans="1:7" s="214" customFormat="1" ht="13.5" customHeight="1">
      <c r="A46" s="780" t="s">
        <v>349</v>
      </c>
      <c r="B46" s="248" t="s">
        <v>427</v>
      </c>
      <c r="C46" s="249">
        <f>ROUND((C33+C39)*F27,0)</f>
        <v>190</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2278</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1777</v>
      </c>
      <c r="D51" s="232"/>
      <c r="E51" s="232"/>
      <c r="F51" s="264"/>
      <c r="G51" s="234" t="s">
        <v>37</v>
      </c>
    </row>
    <row r="52" spans="1:7" s="208" customFormat="1" ht="16.5" thickBot="1">
      <c r="A52" s="265" t="s">
        <v>38</v>
      </c>
      <c r="B52" s="266"/>
      <c r="C52" s="267">
        <f ca="1">C31+C51</f>
        <v>27572</v>
      </c>
      <c r="D52" s="266"/>
      <c r="E52" s="266"/>
      <c r="F52" s="266"/>
      <c r="G52" s="268"/>
    </row>
    <row r="55" spans="1:7" ht="15">
      <c r="B55" s="270" t="s">
        <v>39</v>
      </c>
      <c r="C55" s="271"/>
    </row>
    <row r="56" spans="1:7">
      <c r="B56" s="273" t="s">
        <v>40</v>
      </c>
      <c r="C56" s="274">
        <f ca="1">ROUND(C51/C52,3)</f>
        <v>6.4000000000000001E-2</v>
      </c>
    </row>
    <row r="57" spans="1:7">
      <c r="B57" s="273" t="s">
        <v>41</v>
      </c>
      <c r="C57" s="275">
        <f ca="1">1-C56</f>
        <v>0.93599999999999994</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961" t="s">
        <v>2844</v>
      </c>
      <c r="B1" s="3961"/>
      <c r="C1" s="3961"/>
      <c r="D1" s="3961"/>
      <c r="E1" s="3961"/>
      <c r="F1" s="3961"/>
      <c r="G1" s="3962"/>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959" t="s">
        <v>2871</v>
      </c>
      <c r="B3" s="3228"/>
      <c r="C3" s="3229" t="s">
        <v>2812</v>
      </c>
      <c r="D3" s="3229" t="s">
        <v>2872</v>
      </c>
      <c r="E3" s="3229" t="s">
        <v>2814</v>
      </c>
      <c r="F3" s="3229" t="s">
        <v>2873</v>
      </c>
      <c r="G3" s="3229" t="s">
        <v>2632</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960"/>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M2:P51"/>
  <sheetViews>
    <sheetView topLeftCell="K1" workbookViewId="0">
      <selection activeCell="M2" sqref="M2"/>
    </sheetView>
  </sheetViews>
  <sheetFormatPr defaultRowHeight="13.5"/>
  <cols>
    <col min="13" max="13" width="15.125" bestFit="1" customWidth="1"/>
    <col min="16" max="16" width="13.5" bestFit="1" customWidth="1"/>
  </cols>
  <sheetData>
    <row r="2" spans="13:16">
      <c r="M2" s="3451" t="s">
        <v>3861</v>
      </c>
      <c r="N2">
        <v>4614</v>
      </c>
      <c r="O2">
        <v>15000</v>
      </c>
      <c r="P2" s="3598">
        <v>44682</v>
      </c>
    </row>
    <row r="3" spans="13:16">
      <c r="M3" s="3451" t="s">
        <v>3415</v>
      </c>
      <c r="N3">
        <v>5120</v>
      </c>
      <c r="O3">
        <v>15329</v>
      </c>
      <c r="P3" s="3598">
        <v>44986</v>
      </c>
    </row>
    <row r="4" spans="13:16">
      <c r="M4" s="3451" t="s">
        <v>3802</v>
      </c>
      <c r="N4">
        <v>3483</v>
      </c>
      <c r="O4">
        <v>14000</v>
      </c>
      <c r="P4" s="3598">
        <v>44228</v>
      </c>
    </row>
    <row r="5" spans="13:16">
      <c r="M5" s="3451" t="s">
        <v>3807</v>
      </c>
      <c r="N5">
        <v>1919</v>
      </c>
      <c r="O5">
        <v>13800</v>
      </c>
      <c r="P5" s="3598">
        <v>44805</v>
      </c>
    </row>
    <row r="6" spans="13:16">
      <c r="M6" s="3451" t="s">
        <v>3811</v>
      </c>
      <c r="N6">
        <v>843</v>
      </c>
      <c r="O6">
        <v>15306</v>
      </c>
      <c r="P6" s="3598">
        <v>44774</v>
      </c>
    </row>
    <row r="7" spans="13:16">
      <c r="P7" s="3597"/>
    </row>
    <row r="8" spans="13:16">
      <c r="P8" s="3597"/>
    </row>
    <row r="9" spans="13:16">
      <c r="P9" s="3597"/>
    </row>
    <row r="44" spans="13:15">
      <c r="M44" s="3451" t="s">
        <v>3803</v>
      </c>
      <c r="O44">
        <v>40000</v>
      </c>
    </row>
    <row r="45" spans="13:15">
      <c r="M45" s="3451" t="s">
        <v>3804</v>
      </c>
      <c r="N45">
        <v>673</v>
      </c>
      <c r="O45">
        <v>41373</v>
      </c>
    </row>
    <row r="46" spans="13:15">
      <c r="M46" s="3451" t="s">
        <v>3805</v>
      </c>
      <c r="N46">
        <v>140</v>
      </c>
      <c r="O46">
        <v>39215</v>
      </c>
    </row>
    <row r="47" spans="13:15">
      <c r="M47" s="3451" t="s">
        <v>3806</v>
      </c>
      <c r="N47">
        <v>3260</v>
      </c>
      <c r="O47">
        <v>31000</v>
      </c>
    </row>
    <row r="48" spans="13:15">
      <c r="M48" s="3451" t="s">
        <v>3808</v>
      </c>
      <c r="N48">
        <v>1096</v>
      </c>
      <c r="O48">
        <v>20636</v>
      </c>
    </row>
    <row r="49" spans="13:15">
      <c r="M49" s="3451" t="s">
        <v>3809</v>
      </c>
      <c r="N49">
        <v>331</v>
      </c>
      <c r="O49">
        <v>33500</v>
      </c>
    </row>
    <row r="50" spans="13:15">
      <c r="M50" s="3451" t="s">
        <v>3810</v>
      </c>
      <c r="N50">
        <v>266</v>
      </c>
      <c r="O50">
        <v>34780</v>
      </c>
    </row>
    <row r="51" spans="13:15">
      <c r="M51" s="3451" t="s">
        <v>3812</v>
      </c>
      <c r="N51">
        <v>646</v>
      </c>
      <c r="O51">
        <v>27500</v>
      </c>
    </row>
  </sheetData>
  <phoneticPr fontId="1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963" t="s">
        <v>3186</v>
      </c>
      <c r="B1" s="3963"/>
    </row>
    <row r="2" spans="1:7" ht="14.25" thickBot="1">
      <c r="A2" s="3253"/>
      <c r="B2" s="3253"/>
    </row>
    <row r="3" spans="1:7" ht="14.25" thickBot="1">
      <c r="A3" s="3253"/>
      <c r="B3" s="3253"/>
      <c r="C3" s="3254" t="s">
        <v>2812</v>
      </c>
      <c r="D3" s="3254" t="s">
        <v>2872</v>
      </c>
      <c r="E3" s="3254" t="s">
        <v>2814</v>
      </c>
      <c r="F3" s="3254" t="s">
        <v>2873</v>
      </c>
      <c r="G3" s="3254" t="s">
        <v>2632</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3288"/>
  </cols>
  <sheetData>
    <row r="1" spans="1:6" ht="15">
      <c r="A1" s="3964" t="s">
        <v>3237</v>
      </c>
      <c r="B1" s="3964"/>
      <c r="C1" s="3964"/>
      <c r="D1" s="3964"/>
      <c r="E1" s="3964"/>
      <c r="F1" s="3965"/>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zoomScale="80" zoomScaleNormal="80" workbookViewId="0">
      <selection activeCell="H14" sqref="H14"/>
    </sheetView>
  </sheetViews>
  <sheetFormatPr defaultRowHeight="13.5"/>
  <cols>
    <col min="1" max="1" width="13.875" customWidth="1"/>
    <col min="11" max="17" width="0" hidden="1" customWidth="1"/>
    <col min="25" max="30" width="0" hidden="1" customWidth="1"/>
  </cols>
  <sheetData>
    <row r="1" spans="1:30">
      <c r="A1" s="3219">
        <f>基准地价修正!G23</f>
        <v>45056</v>
      </c>
      <c r="B1" s="3208" t="s">
        <v>2843</v>
      </c>
      <c r="C1" s="3209"/>
      <c r="D1" s="3209"/>
      <c r="E1" s="3209"/>
      <c r="F1" s="3209"/>
      <c r="G1" s="3209"/>
      <c r="H1" s="3209"/>
      <c r="I1" s="3209"/>
      <c r="J1" s="3163"/>
      <c r="K1" s="3209" t="s">
        <v>454</v>
      </c>
      <c r="L1" s="3209"/>
      <c r="M1" s="3209"/>
      <c r="N1" s="3209"/>
      <c r="O1" s="3209"/>
      <c r="P1" s="3209"/>
      <c r="Q1" s="3163"/>
      <c r="R1" s="3966" t="s">
        <v>456</v>
      </c>
      <c r="S1" s="3967"/>
      <c r="T1" s="3967"/>
      <c r="U1" s="3967"/>
      <c r="V1" s="3967"/>
      <c r="W1" s="3967"/>
      <c r="X1" s="3163"/>
      <c r="Y1" s="3966" t="s">
        <v>457</v>
      </c>
      <c r="Z1" s="3967"/>
      <c r="AA1" s="3967"/>
      <c r="AB1" s="3967"/>
      <c r="AC1" s="3967"/>
      <c r="AD1" s="3967"/>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2821</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2822</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966" t="s">
        <v>2831</v>
      </c>
      <c r="S21" s="3967"/>
      <c r="T21" s="3967"/>
      <c r="U21" s="3967"/>
      <c r="V21" s="3967"/>
      <c r="W21" s="3967"/>
      <c r="X21" s="3163"/>
      <c r="Y21" s="3966" t="s">
        <v>2832</v>
      </c>
      <c r="Z21" s="3967"/>
      <c r="AA21" s="3967"/>
      <c r="AB21" s="3967"/>
      <c r="AC21" s="3967"/>
      <c r="AD21" s="3967"/>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2821</v>
      </c>
      <c r="B28" s="3175">
        <v>2023</v>
      </c>
      <c r="C28" s="3176">
        <v>1</v>
      </c>
      <c r="D28" s="3177"/>
      <c r="E28" s="3177">
        <v>0</v>
      </c>
      <c r="F28" s="3177">
        <v>0</v>
      </c>
      <c r="G28" s="3177">
        <v>0</v>
      </c>
      <c r="H28" s="3194"/>
      <c r="I28" s="3178">
        <f t="shared" ref="I28" si="33">F28</f>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4">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5">T29</f>
        <v>1.0164</v>
      </c>
      <c r="X29" s="3190"/>
      <c r="Y29" s="3192"/>
      <c r="Z29" s="3213">
        <f t="shared" ref="Z29:AD36" si="36">IF(E29=0,0,ROUND(AVERAGE(E29:E37)/100,4))</f>
        <v>4.0000000000000001E-3</v>
      </c>
      <c r="AA29" s="3214">
        <f t="shared" si="36"/>
        <v>2.5999999999999999E-3</v>
      </c>
      <c r="AB29" s="3192">
        <f t="shared" si="36"/>
        <v>7.4000000000000003E-3</v>
      </c>
      <c r="AC29" s="3215"/>
      <c r="AD29" s="3192">
        <f t="shared" si="36"/>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4"/>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5"/>
        <v>1.0144</v>
      </c>
      <c r="X30" s="3179"/>
      <c r="Y30" s="3182"/>
      <c r="Z30" s="3210">
        <f t="shared" si="36"/>
        <v>3.8999999999999998E-3</v>
      </c>
      <c r="AA30" s="3212">
        <f t="shared" si="36"/>
        <v>2.7000000000000001E-3</v>
      </c>
      <c r="AB30" s="3182">
        <f t="shared" si="36"/>
        <v>7.9000000000000008E-3</v>
      </c>
      <c r="AC30" s="3211"/>
      <c r="AD30" s="3182">
        <f t="shared" si="36"/>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4"/>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5"/>
        <v>1.0114000000000001</v>
      </c>
      <c r="X31" s="3179"/>
      <c r="Y31" s="3182"/>
      <c r="Z31" s="3210">
        <f t="shared" si="36"/>
        <v>4.1000000000000003E-3</v>
      </c>
      <c r="AA31" s="3212">
        <f t="shared" si="36"/>
        <v>2.7000000000000001E-3</v>
      </c>
      <c r="AB31" s="3182">
        <f t="shared" si="36"/>
        <v>7.9000000000000008E-3</v>
      </c>
      <c r="AC31" s="3211"/>
      <c r="AD31" s="3182">
        <f t="shared" si="36"/>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4"/>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5"/>
        <v>1.0127999999999999</v>
      </c>
      <c r="X32" s="3179"/>
      <c r="Y32" s="3182"/>
      <c r="Z32" s="3210">
        <f t="shared" si="36"/>
        <v>5.1000000000000004E-3</v>
      </c>
      <c r="AA32" s="3212">
        <f t="shared" si="36"/>
        <v>3.5000000000000001E-3</v>
      </c>
      <c r="AB32" s="3182">
        <f t="shared" si="36"/>
        <v>8.3999999999999995E-3</v>
      </c>
      <c r="AC32" s="3211"/>
      <c r="AD32" s="3182">
        <f t="shared" si="36"/>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4"/>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5"/>
        <v>1.0082</v>
      </c>
      <c r="X33" s="3179"/>
      <c r="Y33" s="3182"/>
      <c r="Z33" s="3210">
        <f t="shared" si="36"/>
        <v>4.8999999999999998E-3</v>
      </c>
      <c r="AA33" s="3212">
        <f t="shared" si="36"/>
        <v>3.3E-3</v>
      </c>
      <c r="AB33" s="3182">
        <f t="shared" si="36"/>
        <v>9.1999999999999998E-3</v>
      </c>
      <c r="AC33" s="3211"/>
      <c r="AD33" s="3182">
        <f t="shared" si="36"/>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4"/>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5"/>
        <v>1.0074000000000001</v>
      </c>
      <c r="X34" s="3179"/>
      <c r="Y34" s="3182"/>
      <c r="Z34" s="3210">
        <f t="shared" si="36"/>
        <v>4.5999999999999999E-3</v>
      </c>
      <c r="AA34" s="3212">
        <f t="shared" si="36"/>
        <v>4.1000000000000003E-3</v>
      </c>
      <c r="AB34" s="3182">
        <f t="shared" si="36"/>
        <v>0.01</v>
      </c>
      <c r="AC34" s="3211"/>
      <c r="AD34" s="3182">
        <f t="shared" si="36"/>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4"/>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5"/>
        <v>1.0045999999999999</v>
      </c>
      <c r="X35" s="3179"/>
      <c r="Y35" s="3182"/>
      <c r="Z35" s="3210">
        <f t="shared" si="36"/>
        <v>4.4999999999999997E-3</v>
      </c>
      <c r="AA35" s="3212">
        <f t="shared" si="36"/>
        <v>4.7000000000000002E-3</v>
      </c>
      <c r="AB35" s="3182">
        <f t="shared" si="36"/>
        <v>1.04E-2</v>
      </c>
      <c r="AC35" s="3211"/>
      <c r="AD35" s="3182">
        <f t="shared" si="36"/>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4"/>
        <v>4.7999999999999996E-3</v>
      </c>
      <c r="Q36" s="3201"/>
      <c r="R36" s="3204"/>
      <c r="S36" s="3204">
        <v>1</v>
      </c>
      <c r="T36" s="3204">
        <v>1</v>
      </c>
      <c r="U36" s="3204">
        <v>1</v>
      </c>
      <c r="V36" s="3204"/>
      <c r="W36" s="3204">
        <f t="shared" si="35"/>
        <v>1</v>
      </c>
      <c r="X36" s="3201"/>
      <c r="Y36" s="3203"/>
      <c r="Z36" s="3216">
        <f t="shared" si="36"/>
        <v>3.5000000000000001E-3</v>
      </c>
      <c r="AA36" s="3217">
        <f t="shared" si="36"/>
        <v>4.7999999999999996E-3</v>
      </c>
      <c r="AB36" s="3203">
        <f t="shared" si="36"/>
        <v>9.7999999999999997E-3</v>
      </c>
      <c r="AC36" s="3218"/>
      <c r="AD36" s="3203">
        <f t="shared" si="36"/>
        <v>4.7999999999999996E-3</v>
      </c>
    </row>
    <row r="37" spans="1:30" ht="14.25" thickTop="1"/>
    <row r="38" spans="1:30">
      <c r="A38" s="3446" t="s">
        <v>3372</v>
      </c>
    </row>
  </sheetData>
  <mergeCells count="4">
    <mergeCell ref="R21:W21"/>
    <mergeCell ref="Y21:AD21"/>
    <mergeCell ref="R1:W1"/>
    <mergeCell ref="Y1:AD1"/>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L9" sqref="L9"/>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73" t="s">
        <v>452</v>
      </c>
      <c r="C1" s="3973"/>
      <c r="D1" s="3973"/>
      <c r="E1" s="3973"/>
      <c r="F1" s="3973"/>
      <c r="G1" s="3969" t="s">
        <v>453</v>
      </c>
      <c r="H1" s="3969"/>
      <c r="I1" s="3969"/>
      <c r="J1" s="3969"/>
      <c r="K1" s="3969"/>
      <c r="L1" s="3969"/>
      <c r="N1" s="3969" t="s">
        <v>454</v>
      </c>
      <c r="O1" s="3969"/>
      <c r="P1" s="3969"/>
      <c r="Q1" s="3969"/>
      <c r="S1" s="3969" t="s">
        <v>455</v>
      </c>
      <c r="T1" s="3969"/>
      <c r="U1" s="3969"/>
      <c r="V1" s="3969"/>
      <c r="X1" s="3968" t="s">
        <v>456</v>
      </c>
      <c r="Y1" s="3969"/>
      <c r="Z1" s="3969"/>
      <c r="AA1" s="3969"/>
      <c r="AB1" s="3969"/>
      <c r="AD1" s="3968" t="s">
        <v>457</v>
      </c>
      <c r="AE1" s="3969"/>
      <c r="AF1" s="3969"/>
      <c r="AG1" s="3969"/>
      <c r="AH1" s="396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7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7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7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7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7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7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7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7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7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7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7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7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7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7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7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7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7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7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7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7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7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7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7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7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7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7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7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7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7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7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7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7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7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7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7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7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7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7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7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7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7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7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7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7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7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7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7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7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7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7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7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7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7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7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7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7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7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7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7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7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7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7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7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7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7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7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7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7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M19"/>
  <sheetViews>
    <sheetView topLeftCell="G1" workbookViewId="0">
      <selection activeCell="G7" sqref="G7"/>
    </sheetView>
  </sheetViews>
  <sheetFormatPr defaultRowHeight="13.5"/>
  <cols>
    <col min="1" max="1" width="19.25" bestFit="1" customWidth="1"/>
    <col min="2" max="2" width="9.5" bestFit="1" customWidth="1"/>
    <col min="5" max="5" width="29.375" style="3448" customWidth="1"/>
    <col min="6" max="6" width="11.625" bestFit="1" customWidth="1"/>
    <col min="7" max="7" width="12.125" bestFit="1" customWidth="1"/>
    <col min="8" max="8" width="9.5" bestFit="1" customWidth="1"/>
    <col min="9" max="9" width="9.5" customWidth="1"/>
    <col min="10" max="10" width="9.5" bestFit="1" customWidth="1"/>
  </cols>
  <sheetData>
    <row r="2" spans="1:13">
      <c r="F2" s="3451" t="s">
        <v>3400</v>
      </c>
      <c r="G2" s="3451" t="s">
        <v>3399</v>
      </c>
      <c r="H2" s="3451" t="s">
        <v>3398</v>
      </c>
      <c r="I2" s="3451" t="s">
        <v>3402</v>
      </c>
      <c r="J2" s="3451" t="s">
        <v>3401</v>
      </c>
      <c r="K2" s="3451" t="s">
        <v>3403</v>
      </c>
    </row>
    <row r="3" spans="1:13" ht="44.25">
      <c r="A3" s="3451" t="s">
        <v>3825</v>
      </c>
      <c r="B3">
        <v>313</v>
      </c>
      <c r="C3">
        <v>1.8</v>
      </c>
      <c r="E3" s="3615" t="s">
        <v>3840</v>
      </c>
      <c r="F3" s="3450">
        <v>44082</v>
      </c>
      <c r="G3">
        <v>2388.2600000000002</v>
      </c>
      <c r="H3">
        <v>50148000</v>
      </c>
      <c r="I3">
        <f>ROUND(H3/G3,0)</f>
        <v>20998</v>
      </c>
      <c r="K3">
        <f>ROUND(J3/G3,0)</f>
        <v>0</v>
      </c>
      <c r="L3" s="3451" t="s">
        <v>3407</v>
      </c>
      <c r="M3" t="s">
        <v>3404</v>
      </c>
    </row>
    <row r="4" spans="1:13" ht="45.75">
      <c r="A4" s="3451" t="s">
        <v>3826</v>
      </c>
      <c r="B4">
        <v>1505</v>
      </c>
      <c r="C4">
        <v>2</v>
      </c>
      <c r="E4" s="3449" t="s">
        <v>3843</v>
      </c>
      <c r="F4" s="3450">
        <v>43915</v>
      </c>
      <c r="G4">
        <v>2388.2600000000002</v>
      </c>
      <c r="H4">
        <v>50148000</v>
      </c>
      <c r="I4">
        <f>ROUND(H4/G4,0)</f>
        <v>20998</v>
      </c>
      <c r="K4">
        <f t="shared" ref="K4:K8" si="0">ROUND(J4/G4,0)</f>
        <v>0</v>
      </c>
      <c r="L4" s="3451" t="s">
        <v>3406</v>
      </c>
      <c r="M4" t="s">
        <v>3405</v>
      </c>
    </row>
    <row r="5" spans="1:13" ht="44.25">
      <c r="A5" s="3451" t="s">
        <v>3827</v>
      </c>
      <c r="B5">
        <v>380</v>
      </c>
      <c r="C5">
        <v>1.9</v>
      </c>
      <c r="E5" s="3615" t="s">
        <v>3840</v>
      </c>
      <c r="F5" s="3450">
        <v>43961</v>
      </c>
      <c r="G5">
        <v>2388.2600000000002</v>
      </c>
      <c r="H5">
        <v>50148000</v>
      </c>
      <c r="I5">
        <f t="shared" ref="I5:I12" si="1">ROUND(H5/G5,0)</f>
        <v>20998</v>
      </c>
      <c r="K5">
        <f t="shared" si="0"/>
        <v>0</v>
      </c>
      <c r="L5" s="3451" t="s">
        <v>3406</v>
      </c>
      <c r="M5" t="s">
        <v>3408</v>
      </c>
    </row>
    <row r="6" spans="1:13" ht="44.25">
      <c r="E6" s="3617" t="s">
        <v>3839</v>
      </c>
      <c r="F6" s="3450">
        <v>43463</v>
      </c>
      <c r="G6">
        <v>3817.71</v>
      </c>
      <c r="H6">
        <v>64990000</v>
      </c>
      <c r="I6">
        <f t="shared" si="1"/>
        <v>17023</v>
      </c>
      <c r="J6">
        <v>36394400</v>
      </c>
      <c r="K6">
        <f t="shared" si="0"/>
        <v>9533</v>
      </c>
      <c r="M6" t="s">
        <v>3411</v>
      </c>
    </row>
    <row r="7" spans="1:13" ht="30">
      <c r="E7" s="3615" t="s">
        <v>3842</v>
      </c>
      <c r="F7" s="3450">
        <v>44884</v>
      </c>
      <c r="G7" s="3452">
        <v>3825.18</v>
      </c>
      <c r="H7">
        <v>54837800</v>
      </c>
      <c r="I7">
        <f t="shared" si="1"/>
        <v>14336</v>
      </c>
      <c r="K7">
        <f t="shared" si="0"/>
        <v>0</v>
      </c>
      <c r="L7" s="3451" t="s">
        <v>3406</v>
      </c>
      <c r="M7" t="s">
        <v>3409</v>
      </c>
    </row>
    <row r="8" spans="1:13" ht="30">
      <c r="E8" s="3616" t="s">
        <v>3841</v>
      </c>
      <c r="F8" s="3450">
        <v>44925</v>
      </c>
      <c r="G8">
        <v>119.41</v>
      </c>
      <c r="H8">
        <v>2727484</v>
      </c>
      <c r="I8">
        <f t="shared" si="1"/>
        <v>22841</v>
      </c>
      <c r="K8">
        <f t="shared" si="0"/>
        <v>0</v>
      </c>
      <c r="L8" s="3451" t="s">
        <v>3406</v>
      </c>
      <c r="M8" t="s">
        <v>3410</v>
      </c>
    </row>
    <row r="9" spans="1:13" ht="30">
      <c r="E9" s="3618" t="s">
        <v>3412</v>
      </c>
      <c r="F9" s="3599">
        <v>44309</v>
      </c>
      <c r="G9" s="3600">
        <v>5605.5</v>
      </c>
      <c r="H9" s="3601">
        <v>93720000</v>
      </c>
      <c r="I9" s="3601">
        <f t="shared" si="1"/>
        <v>16719</v>
      </c>
      <c r="L9" s="3451" t="s">
        <v>3406</v>
      </c>
      <c r="M9" s="3631" t="s">
        <v>3846</v>
      </c>
    </row>
    <row r="10" spans="1:13" ht="30">
      <c r="E10" s="3618" t="s">
        <v>3412</v>
      </c>
      <c r="F10" s="3599">
        <v>44123</v>
      </c>
      <c r="G10" s="3600">
        <v>5605.5</v>
      </c>
      <c r="H10" s="3601">
        <v>93720000</v>
      </c>
      <c r="I10" s="3601">
        <f t="shared" si="1"/>
        <v>16719</v>
      </c>
      <c r="L10" s="3451" t="s">
        <v>3406</v>
      </c>
      <c r="M10" s="3631" t="s">
        <v>3847</v>
      </c>
    </row>
    <row r="11" spans="1:13">
      <c r="I11" t="e">
        <f t="shared" si="1"/>
        <v>#DIV/0!</v>
      </c>
    </row>
    <row r="12" spans="1:13">
      <c r="I12" t="e">
        <f t="shared" si="1"/>
        <v>#DIV/0!</v>
      </c>
    </row>
    <row r="17" spans="7:7">
      <c r="G17">
        <v>24137.57</v>
      </c>
    </row>
    <row r="18" spans="7:7">
      <c r="G18">
        <v>3710</v>
      </c>
    </row>
    <row r="19" spans="7:7">
      <c r="G19">
        <f>ROUND(G18*10000/365/G17,2)</f>
        <v>4.21</v>
      </c>
    </row>
  </sheetData>
  <phoneticPr fontId="135" type="noConversion"/>
  <hyperlinks>
    <hyperlink ref="M9" r:id="rId1" xr:uid="{00000000-0004-0000-2E00-000000000000}"/>
    <hyperlink ref="M10" r:id="rId2" xr:uid="{00000000-0004-0000-2E00-000001000000}"/>
  </hyperlinks>
  <pageMargins left="0.7" right="0.7" top="0.75" bottom="0.75" header="0.3" footer="0.3"/>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Q30"/>
  <sheetViews>
    <sheetView zoomScale="85" zoomScaleNormal="85" workbookViewId="0">
      <selection activeCell="D6" sqref="D6:D14"/>
    </sheetView>
  </sheetViews>
  <sheetFormatPr defaultRowHeight="13.5"/>
  <cols>
    <col min="1" max="1" width="13.25" style="3462" customWidth="1"/>
    <col min="2" max="2" width="16.25" style="3475" bestFit="1" customWidth="1"/>
    <col min="3" max="3" width="28.25" style="3462" bestFit="1" customWidth="1"/>
    <col min="4" max="4" width="9" style="3475"/>
    <col min="5" max="5" width="11.25" style="3462" bestFit="1" customWidth="1"/>
    <col min="6" max="6" width="12.5" style="3462" bestFit="1" customWidth="1"/>
    <col min="7" max="7" width="9" style="3488"/>
    <col min="8" max="8" width="14.625" style="3462" bestFit="1" customWidth="1"/>
    <col min="9" max="9" width="12.875" style="3462" bestFit="1" customWidth="1"/>
    <col min="10" max="10" width="9.25" style="3462" bestFit="1" customWidth="1"/>
    <col min="11" max="14" width="9" style="3462"/>
    <col min="15" max="15" width="11.375" style="3462" bestFit="1" customWidth="1"/>
    <col min="16" max="16384" width="9" style="3462"/>
  </cols>
  <sheetData>
    <row r="2" spans="1:16" ht="14.25" thickBot="1">
      <c r="A2" s="3459"/>
      <c r="B2" s="3460"/>
      <c r="C2" s="3459" t="s">
        <v>3418</v>
      </c>
      <c r="D2" s="3460"/>
      <c r="E2" s="3459"/>
      <c r="F2" s="3459"/>
      <c r="G2" s="3461"/>
    </row>
    <row r="3" spans="1:16" ht="15.75" thickBot="1">
      <c r="A3" s="3463"/>
      <c r="B3" s="3464"/>
      <c r="C3" s="3463"/>
      <c r="D3" s="3464"/>
      <c r="E3" s="3463"/>
      <c r="F3" s="3463"/>
      <c r="G3" s="3465"/>
    </row>
    <row r="4" spans="1:16" ht="16.5">
      <c r="A4" s="3981" t="s">
        <v>3419</v>
      </c>
      <c r="B4" s="3983" t="s">
        <v>3420</v>
      </c>
      <c r="C4" s="3981" t="s">
        <v>3421</v>
      </c>
      <c r="D4" s="3466" t="s">
        <v>3422</v>
      </c>
      <c r="E4" s="3979" t="s">
        <v>3423</v>
      </c>
      <c r="F4" s="3979" t="s">
        <v>3424</v>
      </c>
      <c r="G4" s="3979" t="s">
        <v>3425</v>
      </c>
    </row>
    <row r="5" spans="1:16" ht="33.75" thickBot="1">
      <c r="A5" s="3982"/>
      <c r="B5" s="3984"/>
      <c r="C5" s="3982"/>
      <c r="D5" s="3467" t="s">
        <v>3426</v>
      </c>
      <c r="E5" s="3980"/>
      <c r="F5" s="3980"/>
      <c r="G5" s="3980"/>
    </row>
    <row r="6" spans="1:16" ht="99.75" thickBot="1">
      <c r="A6" s="3468" t="s">
        <v>3427</v>
      </c>
      <c r="B6" s="3469">
        <v>12181.62</v>
      </c>
      <c r="C6" s="3470" t="s">
        <v>3428</v>
      </c>
      <c r="D6" s="3469">
        <v>2.2000000000000002</v>
      </c>
      <c r="E6" s="3471">
        <v>44501</v>
      </c>
      <c r="F6" s="3471">
        <v>47664</v>
      </c>
      <c r="G6" s="3472" t="s">
        <v>3429</v>
      </c>
      <c r="H6" s="3473">
        <f>B6*D6*365</f>
        <v>9781840.8600000013</v>
      </c>
      <c r="I6" s="3474">
        <f>B6*D6*30</f>
        <v>803986.92</v>
      </c>
      <c r="J6" s="3475"/>
      <c r="K6" s="3475"/>
      <c r="L6" s="3475"/>
      <c r="M6" s="3475"/>
      <c r="N6" s="3475"/>
      <c r="O6" s="3475"/>
      <c r="P6" s="3475"/>
    </row>
    <row r="7" spans="1:16" ht="50.25" thickBot="1">
      <c r="A7" s="3468" t="s">
        <v>3430</v>
      </c>
      <c r="B7" s="3469">
        <v>16022.53</v>
      </c>
      <c r="C7" s="3470" t="s">
        <v>3428</v>
      </c>
      <c r="D7" s="3469">
        <v>2.2000000000000002</v>
      </c>
      <c r="E7" s="3471">
        <v>44013</v>
      </c>
      <c r="F7" s="3471">
        <v>47664</v>
      </c>
      <c r="G7" s="3472" t="s">
        <v>3431</v>
      </c>
      <c r="H7" s="3473">
        <f>B7*D7*365</f>
        <v>12866091.590000002</v>
      </c>
      <c r="I7" s="3474"/>
      <c r="J7" s="3475"/>
      <c r="K7" s="3475"/>
      <c r="L7" s="3475"/>
      <c r="M7" s="3475"/>
      <c r="N7" s="3475"/>
      <c r="O7" s="3475"/>
      <c r="P7" s="3475"/>
    </row>
    <row r="8" spans="1:16" ht="50.25" thickBot="1">
      <c r="A8" s="3468" t="s">
        <v>3432</v>
      </c>
      <c r="B8" s="3469">
        <v>5120.1499999999996</v>
      </c>
      <c r="C8" s="3470" t="s">
        <v>3433</v>
      </c>
      <c r="D8" s="3469" t="s">
        <v>3434</v>
      </c>
      <c r="E8" s="3471">
        <v>44378</v>
      </c>
      <c r="F8" s="3471">
        <v>46112</v>
      </c>
      <c r="G8" s="3472" t="s">
        <v>3435</v>
      </c>
      <c r="H8" s="3473">
        <f>B8*2.6*365</f>
        <v>4859022.3499999996</v>
      </c>
      <c r="I8" s="3474"/>
      <c r="J8" s="3475"/>
      <c r="K8" s="3475"/>
      <c r="L8" s="3475"/>
      <c r="M8" s="3475"/>
      <c r="N8" s="3475"/>
      <c r="O8" s="3475"/>
      <c r="P8" s="3475"/>
    </row>
    <row r="9" spans="1:16" ht="33.75" thickBot="1">
      <c r="A9" s="3468" t="s">
        <v>3436</v>
      </c>
      <c r="B9" s="3469">
        <v>6216.64</v>
      </c>
      <c r="C9" s="3470" t="s">
        <v>3437</v>
      </c>
      <c r="D9" s="3469">
        <v>2.12</v>
      </c>
      <c r="E9" s="3471">
        <v>44090</v>
      </c>
      <c r="F9" s="3471">
        <v>45915</v>
      </c>
      <c r="G9" s="3476" t="s">
        <v>3438</v>
      </c>
      <c r="H9" s="3473">
        <f t="shared" ref="H9:H27" si="0">B9*D9*365</f>
        <v>4810436.0320000006</v>
      </c>
      <c r="I9" s="3474"/>
      <c r="J9" s="3475"/>
      <c r="K9" s="3475"/>
      <c r="L9" s="3475"/>
      <c r="M9" s="3475"/>
      <c r="N9" s="3475"/>
      <c r="O9" s="3475"/>
      <c r="P9" s="3475"/>
    </row>
    <row r="10" spans="1:16" ht="33.75" thickBot="1">
      <c r="A10" s="3468" t="s">
        <v>3439</v>
      </c>
      <c r="B10" s="3469">
        <v>6371.25</v>
      </c>
      <c r="C10" s="3470" t="s">
        <v>3440</v>
      </c>
      <c r="D10" s="3469">
        <v>2.76</v>
      </c>
      <c r="E10" s="3471">
        <v>43770</v>
      </c>
      <c r="F10" s="3471">
        <v>44865</v>
      </c>
      <c r="G10" s="3472" t="s">
        <v>3441</v>
      </c>
      <c r="H10" s="3473">
        <f t="shared" si="0"/>
        <v>6418397.2499999991</v>
      </c>
      <c r="I10" s="3474"/>
      <c r="J10" s="3475"/>
      <c r="K10" s="3475"/>
      <c r="L10" s="3475"/>
      <c r="M10" s="3475"/>
      <c r="N10" s="3475"/>
      <c r="O10" s="3475"/>
      <c r="P10" s="3475"/>
    </row>
    <row r="11" spans="1:16" ht="17.25" thickBot="1">
      <c r="A11" s="3468" t="s">
        <v>3442</v>
      </c>
      <c r="B11" s="3469">
        <f>SUM(B12:B21)</f>
        <v>11664</v>
      </c>
      <c r="C11" s="3470" t="s">
        <v>3443</v>
      </c>
      <c r="D11" s="3477"/>
      <c r="E11" s="3478"/>
      <c r="F11" s="3478"/>
      <c r="G11" s="3479"/>
      <c r="H11" s="3473">
        <f t="shared" si="0"/>
        <v>0</v>
      </c>
      <c r="I11" s="3474"/>
      <c r="J11" s="3475"/>
      <c r="K11" s="3475"/>
      <c r="L11" s="3475"/>
      <c r="M11" s="3475"/>
      <c r="N11" s="3475"/>
      <c r="O11" s="3475"/>
      <c r="P11" s="3475"/>
    </row>
    <row r="12" spans="1:16" ht="17.25" thickBot="1">
      <c r="A12" s="3468" t="s">
        <v>3444</v>
      </c>
      <c r="B12" s="3469">
        <v>1861</v>
      </c>
      <c r="C12" s="3470" t="s">
        <v>3445</v>
      </c>
      <c r="D12" s="3469">
        <v>3.5</v>
      </c>
      <c r="E12" s="3480">
        <v>44562</v>
      </c>
      <c r="F12" s="3480">
        <v>44926</v>
      </c>
      <c r="G12" s="3479"/>
      <c r="H12" s="3473"/>
      <c r="I12" s="3474"/>
      <c r="J12" s="3475"/>
      <c r="K12" s="3475"/>
      <c r="L12" s="3475"/>
      <c r="M12" s="3475"/>
      <c r="N12" s="3475"/>
      <c r="O12" s="3475"/>
      <c r="P12" s="3475"/>
    </row>
    <row r="13" spans="1:16" ht="17.25" thickBot="1">
      <c r="A13" s="3481" t="s">
        <v>3446</v>
      </c>
      <c r="B13" s="3482">
        <v>654.5</v>
      </c>
      <c r="C13" s="3483" t="s">
        <v>3447</v>
      </c>
      <c r="D13" s="3482">
        <v>3.5</v>
      </c>
      <c r="E13" s="3480">
        <v>44562</v>
      </c>
      <c r="F13" s="3480">
        <v>45657</v>
      </c>
      <c r="G13" s="3479"/>
      <c r="H13" s="3473">
        <f t="shared" si="0"/>
        <v>836123.75</v>
      </c>
      <c r="I13" s="3474"/>
      <c r="J13" s="3475"/>
      <c r="K13" s="3475"/>
      <c r="L13" s="3475"/>
      <c r="M13" s="3475"/>
      <c r="N13" s="3475"/>
      <c r="O13" s="3475"/>
      <c r="P13" s="3475"/>
    </row>
    <row r="14" spans="1:16" ht="17.25" thickBot="1">
      <c r="A14" s="3481" t="s">
        <v>3446</v>
      </c>
      <c r="B14" s="3481">
        <f>2618-B13</f>
        <v>1963.5</v>
      </c>
      <c r="C14" s="3481" t="s">
        <v>3448</v>
      </c>
      <c r="D14" s="3481">
        <v>3.5</v>
      </c>
      <c r="E14" s="3480">
        <v>44562</v>
      </c>
      <c r="F14" s="3480">
        <v>45657</v>
      </c>
      <c r="G14" s="3479"/>
      <c r="H14" s="3473">
        <f t="shared" si="0"/>
        <v>2508371.25</v>
      </c>
      <c r="I14" s="3474"/>
      <c r="J14" s="3475"/>
      <c r="K14" s="3475"/>
      <c r="L14" s="3475"/>
      <c r="M14" s="3475"/>
      <c r="N14" s="3475"/>
      <c r="O14" s="3475"/>
      <c r="P14" s="3475"/>
    </row>
    <row r="15" spans="1:16" ht="17.25" thickBot="1">
      <c r="A15" s="3481" t="s">
        <v>3449</v>
      </c>
      <c r="B15" s="3483">
        <v>105</v>
      </c>
      <c r="C15" s="3481" t="s">
        <v>3448</v>
      </c>
      <c r="D15" s="3483">
        <v>3.5</v>
      </c>
      <c r="E15" s="3480">
        <v>44562</v>
      </c>
      <c r="F15" s="3480">
        <v>45657</v>
      </c>
      <c r="G15" s="3479"/>
      <c r="H15" s="3473">
        <f t="shared" si="0"/>
        <v>134137.5</v>
      </c>
      <c r="I15" s="3474"/>
      <c r="J15" s="3475"/>
      <c r="K15" s="3475"/>
      <c r="L15" s="3475"/>
      <c r="M15" s="3475"/>
      <c r="N15" s="3475"/>
      <c r="O15" s="3475"/>
      <c r="P15" s="3475"/>
    </row>
    <row r="16" spans="1:16" ht="87" customHeight="1" thickBot="1">
      <c r="A16" s="3484" t="s">
        <v>3450</v>
      </c>
      <c r="B16" s="3469">
        <v>3219</v>
      </c>
      <c r="C16" s="3470" t="s">
        <v>3451</v>
      </c>
      <c r="D16" s="3469" t="s">
        <v>3452</v>
      </c>
      <c r="E16" s="3471">
        <v>44562</v>
      </c>
      <c r="F16" s="3471">
        <v>45657</v>
      </c>
      <c r="G16" s="3479"/>
      <c r="H16" s="3473">
        <f>B16*3.5*365</f>
        <v>4112272.5</v>
      </c>
      <c r="I16" s="3474"/>
      <c r="J16" s="3475"/>
      <c r="K16" s="3475"/>
      <c r="L16" s="3475"/>
      <c r="M16" s="3475"/>
      <c r="N16" s="3475"/>
      <c r="O16" s="3475"/>
      <c r="P16" s="3475"/>
    </row>
    <row r="17" spans="1:17" ht="17.25" thickBot="1">
      <c r="A17" s="3468" t="s">
        <v>3453</v>
      </c>
      <c r="B17" s="3469">
        <v>130</v>
      </c>
      <c r="C17" s="3470" t="s">
        <v>3454</v>
      </c>
      <c r="D17" s="3469">
        <v>3.5</v>
      </c>
      <c r="E17" s="3471">
        <v>44470</v>
      </c>
      <c r="F17" s="3471">
        <v>44834</v>
      </c>
      <c r="G17" s="3479"/>
      <c r="H17" s="3473"/>
      <c r="I17" s="3474"/>
      <c r="J17" s="3475"/>
      <c r="K17" s="3475"/>
      <c r="L17" s="3475"/>
      <c r="M17" s="3475"/>
      <c r="N17" s="3475"/>
      <c r="O17" s="3475"/>
      <c r="P17" s="3475"/>
    </row>
    <row r="18" spans="1:17" ht="17.25" thickBot="1">
      <c r="A18" s="3468" t="s">
        <v>3455</v>
      </c>
      <c r="B18" s="3469">
        <v>54</v>
      </c>
      <c r="C18" s="3470" t="s">
        <v>3454</v>
      </c>
      <c r="D18" s="3469">
        <v>3.5</v>
      </c>
      <c r="E18" s="3471">
        <v>44470</v>
      </c>
      <c r="F18" s="3471">
        <v>44834</v>
      </c>
      <c r="G18" s="3479"/>
      <c r="H18" s="3473"/>
      <c r="I18" s="3474"/>
      <c r="J18" s="3475"/>
      <c r="K18" s="3475"/>
      <c r="L18" s="3475"/>
      <c r="M18" s="3475"/>
      <c r="N18" s="3475"/>
      <c r="O18" s="3475"/>
      <c r="P18" s="3475"/>
    </row>
    <row r="19" spans="1:17" ht="33.75" thickBot="1">
      <c r="A19" s="3484" t="s">
        <v>3456</v>
      </c>
      <c r="B19" s="3469">
        <v>560</v>
      </c>
      <c r="C19" s="3470" t="s">
        <v>3457</v>
      </c>
      <c r="D19" s="3469">
        <v>3.56</v>
      </c>
      <c r="E19" s="3471">
        <v>44562</v>
      </c>
      <c r="F19" s="3471">
        <v>45657</v>
      </c>
      <c r="G19" s="3479"/>
      <c r="H19" s="3473">
        <f t="shared" si="0"/>
        <v>727664</v>
      </c>
      <c r="I19" s="3474"/>
      <c r="J19" s="3475"/>
      <c r="K19" s="3475"/>
      <c r="L19" s="3475"/>
      <c r="M19" s="3475"/>
      <c r="N19" s="3475"/>
      <c r="O19" s="3475">
        <v>932574</v>
      </c>
      <c r="P19" s="3475">
        <v>262.86</v>
      </c>
      <c r="Q19" s="3462">
        <f>O19/P19/365</f>
        <v>9.7199926206877141</v>
      </c>
    </row>
    <row r="20" spans="1:17" ht="17.25" thickBot="1">
      <c r="A20" s="3468" t="s">
        <v>3458</v>
      </c>
      <c r="B20" s="3469">
        <v>528</v>
      </c>
      <c r="C20" s="3470" t="s">
        <v>3457</v>
      </c>
      <c r="D20" s="3469">
        <v>3.62</v>
      </c>
      <c r="E20" s="3471">
        <v>44562</v>
      </c>
      <c r="F20" s="3471">
        <v>45657</v>
      </c>
      <c r="G20" s="3479"/>
      <c r="H20" s="3473">
        <f t="shared" si="0"/>
        <v>697646.4</v>
      </c>
      <c r="I20" s="3474"/>
      <c r="J20" s="3475"/>
      <c r="K20" s="3475"/>
      <c r="L20" s="3475"/>
      <c r="M20" s="3475"/>
      <c r="N20" s="3475"/>
      <c r="O20" s="3475"/>
      <c r="P20" s="3475"/>
    </row>
    <row r="21" spans="1:17" ht="17.25" thickBot="1">
      <c r="A21" s="3468" t="s">
        <v>3459</v>
      </c>
      <c r="B21" s="3469">
        <v>2589</v>
      </c>
      <c r="C21" s="3470" t="s">
        <v>3460</v>
      </c>
      <c r="D21" s="3469">
        <v>3.75</v>
      </c>
      <c r="E21" s="3471">
        <v>43831</v>
      </c>
      <c r="F21" s="3471">
        <v>44926</v>
      </c>
      <c r="G21" s="3479"/>
      <c r="H21" s="3473">
        <f t="shared" si="0"/>
        <v>3543693.75</v>
      </c>
      <c r="I21" s="3474"/>
      <c r="J21" s="3475"/>
      <c r="K21" s="3475"/>
      <c r="L21" s="3475"/>
      <c r="M21" s="3475"/>
      <c r="N21" s="3475"/>
      <c r="O21" s="3475"/>
      <c r="P21" s="3475"/>
    </row>
    <row r="22" spans="1:17" ht="17.25" thickBot="1">
      <c r="A22" s="3468" t="s">
        <v>3461</v>
      </c>
      <c r="B22" s="3469">
        <f>SUM(B23:B27)</f>
        <v>6259.74</v>
      </c>
      <c r="C22" s="3485"/>
      <c r="D22" s="3469"/>
      <c r="E22" s="3478"/>
      <c r="F22" s="3478"/>
      <c r="G22" s="3479"/>
      <c r="H22" s="3473">
        <v>0</v>
      </c>
      <c r="I22" s="3474"/>
      <c r="J22" s="3475"/>
      <c r="K22" s="3475"/>
      <c r="L22" s="3475"/>
      <c r="M22" s="3475"/>
      <c r="N22" s="3475"/>
      <c r="O22" s="3475"/>
      <c r="P22" s="3475"/>
    </row>
    <row r="23" spans="1:17" ht="17.25" thickBot="1">
      <c r="A23" s="3486" t="s">
        <v>3462</v>
      </c>
      <c r="B23" s="3469">
        <v>1236.8</v>
      </c>
      <c r="C23" s="3470" t="s">
        <v>3463</v>
      </c>
      <c r="D23" s="3469">
        <v>3.2</v>
      </c>
      <c r="E23" s="3471">
        <v>44470</v>
      </c>
      <c r="F23" s="3471">
        <v>45565</v>
      </c>
      <c r="G23" s="3472" t="s">
        <v>3464</v>
      </c>
      <c r="H23" s="3473">
        <f t="shared" si="0"/>
        <v>1444582.4000000001</v>
      </c>
      <c r="I23" s="3474"/>
      <c r="J23" s="3475"/>
      <c r="K23" s="3475"/>
      <c r="L23" s="3475"/>
      <c r="M23" s="3475"/>
      <c r="N23" s="3475"/>
      <c r="O23" s="3475"/>
      <c r="P23" s="3475"/>
    </row>
    <row r="24" spans="1:17" ht="17.25" thickBot="1">
      <c r="A24" s="3486" t="s">
        <v>3465</v>
      </c>
      <c r="B24" s="3469">
        <v>1299.18</v>
      </c>
      <c r="C24" s="3470" t="s">
        <v>3440</v>
      </c>
      <c r="D24" s="3469">
        <v>2.7</v>
      </c>
      <c r="E24" s="3471">
        <v>44075</v>
      </c>
      <c r="F24" s="3471">
        <v>44865</v>
      </c>
      <c r="G24" s="3472" t="s">
        <v>3464</v>
      </c>
      <c r="H24" s="3473">
        <f t="shared" si="0"/>
        <v>1280341.8900000001</v>
      </c>
      <c r="I24" s="3474"/>
      <c r="J24" s="3475"/>
      <c r="K24" s="3475"/>
      <c r="L24" s="3475"/>
      <c r="M24" s="3475"/>
      <c r="N24" s="3475"/>
      <c r="O24" s="3475"/>
      <c r="P24" s="3475"/>
    </row>
    <row r="25" spans="1:17" ht="17.25" thickBot="1">
      <c r="A25" s="3486" t="s">
        <v>3466</v>
      </c>
      <c r="B25" s="3469">
        <v>1234.4000000000001</v>
      </c>
      <c r="C25" s="3470" t="s">
        <v>3440</v>
      </c>
      <c r="D25" s="3477">
        <v>3.2</v>
      </c>
      <c r="E25" s="3487">
        <v>44470</v>
      </c>
      <c r="F25" s="3487">
        <v>45565</v>
      </c>
      <c r="G25" s="3472" t="s">
        <v>3464</v>
      </c>
      <c r="H25" s="3473">
        <f t="shared" si="0"/>
        <v>1441779.2000000002</v>
      </c>
      <c r="I25" s="3474"/>
      <c r="J25" s="3475"/>
      <c r="K25" s="3475"/>
      <c r="L25" s="3475"/>
      <c r="M25" s="3475"/>
      <c r="N25" s="3475"/>
      <c r="O25" s="3475"/>
      <c r="P25" s="3475"/>
    </row>
    <row r="26" spans="1:17" ht="17.25" thickBot="1">
      <c r="A26" s="3486" t="s">
        <v>3467</v>
      </c>
      <c r="B26" s="3469">
        <v>1307.58</v>
      </c>
      <c r="C26" s="3470" t="s">
        <v>3468</v>
      </c>
      <c r="D26" s="3469">
        <v>2.8</v>
      </c>
      <c r="E26" s="3471">
        <v>44197</v>
      </c>
      <c r="F26" s="3471">
        <v>44926</v>
      </c>
      <c r="G26" s="3472" t="s">
        <v>3469</v>
      </c>
      <c r="H26" s="3473">
        <f t="shared" si="0"/>
        <v>1336346.7599999998</v>
      </c>
      <c r="I26" s="3474"/>
      <c r="J26" s="3475"/>
      <c r="K26" s="3475"/>
      <c r="L26" s="3475"/>
      <c r="M26" s="3475"/>
      <c r="N26" s="3475"/>
      <c r="O26" s="3475"/>
      <c r="P26" s="3475"/>
    </row>
    <row r="27" spans="1:17" ht="17.25" thickBot="1">
      <c r="A27" s="3486" t="s">
        <v>3470</v>
      </c>
      <c r="B27" s="3469">
        <v>1181.78</v>
      </c>
      <c r="C27" s="3470" t="s">
        <v>3471</v>
      </c>
      <c r="D27" s="3469">
        <v>2.8</v>
      </c>
      <c r="E27" s="3471">
        <v>43983</v>
      </c>
      <c r="F27" s="3471">
        <v>45077</v>
      </c>
      <c r="G27" s="3472" t="s">
        <v>3464</v>
      </c>
      <c r="H27" s="3473">
        <f t="shared" si="0"/>
        <v>1207779.1599999999</v>
      </c>
      <c r="I27" s="3474"/>
      <c r="J27" s="3475"/>
      <c r="K27" s="3475"/>
      <c r="L27" s="3475"/>
      <c r="M27" s="3475"/>
      <c r="N27" s="3475"/>
      <c r="O27" s="3475"/>
      <c r="P27" s="3475"/>
    </row>
    <row r="28" spans="1:17" ht="17.25" thickBot="1">
      <c r="A28" s="3486" t="s">
        <v>3472</v>
      </c>
      <c r="B28" s="3477">
        <f>B6+B8+B9+B10+B11+B22+B7</f>
        <v>63835.93</v>
      </c>
      <c r="C28" s="3478"/>
      <c r="D28" s="3477"/>
      <c r="E28" s="3478"/>
      <c r="F28" s="3478"/>
      <c r="G28" s="3479"/>
      <c r="H28" s="3473">
        <f>SUM(H6:H27)</f>
        <v>58006526.641999997</v>
      </c>
      <c r="I28" s="3474"/>
      <c r="J28" s="3475"/>
      <c r="K28" s="3475"/>
      <c r="L28" s="3475"/>
      <c r="M28" s="3475"/>
      <c r="N28" s="3475"/>
      <c r="O28" s="3475"/>
      <c r="P28" s="3475"/>
    </row>
    <row r="29" spans="1:17">
      <c r="H29" s="3475"/>
      <c r="I29" s="3475"/>
      <c r="J29" s="3475"/>
      <c r="K29" s="3475"/>
      <c r="L29" s="3475"/>
      <c r="M29" s="3475"/>
      <c r="N29" s="3475"/>
      <c r="O29" s="3475"/>
      <c r="P29" s="3475"/>
    </row>
    <row r="30" spans="1:17">
      <c r="H30" s="3475"/>
      <c r="I30" s="3475"/>
      <c r="J30" s="3475"/>
      <c r="K30" s="3475"/>
      <c r="L30" s="3475"/>
      <c r="M30" s="3475"/>
      <c r="N30" s="3475"/>
      <c r="O30" s="3475"/>
      <c r="P30" s="3475"/>
    </row>
  </sheetData>
  <mergeCells count="6">
    <mergeCell ref="G4:G5"/>
    <mergeCell ref="A4:A5"/>
    <mergeCell ref="B4:B5"/>
    <mergeCell ref="C4:C5"/>
    <mergeCell ref="E4:E5"/>
    <mergeCell ref="F4:F5"/>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CH82"/>
  <sheetViews>
    <sheetView zoomScaleNormal="100" workbookViewId="0">
      <pane xSplit="6" ySplit="4" topLeftCell="L5" activePane="bottomRight" state="frozen"/>
      <selection pane="topRight"/>
      <selection pane="bottomLeft"/>
      <selection pane="bottomRight" activeCell="CL10" sqref="CL10"/>
    </sheetView>
  </sheetViews>
  <sheetFormatPr defaultColWidth="9" defaultRowHeight="16.5" outlineLevelCol="1"/>
  <cols>
    <col min="1" max="1" width="4.5" style="3511" customWidth="1"/>
    <col min="2" max="2" width="5.25" style="3511" customWidth="1"/>
    <col min="3" max="3" width="20.5" style="3582" bestFit="1" customWidth="1"/>
    <col min="4" max="4" width="23" style="3511" customWidth="1"/>
    <col min="5" max="5" width="5.875" style="3511" customWidth="1"/>
    <col min="6" max="6" width="12.75" style="3511" customWidth="1"/>
    <col min="7" max="7" width="11.625" style="3511" customWidth="1"/>
    <col min="8" max="8" width="10" style="3511" customWidth="1"/>
    <col min="9" max="9" width="11.125" style="3511" customWidth="1"/>
    <col min="10" max="10" width="13" style="3511" customWidth="1"/>
    <col min="11" max="11" width="12.375" style="3511" customWidth="1"/>
    <col min="12" max="12" width="18.125" style="3583" customWidth="1"/>
    <col min="13" max="13" width="8.625" style="3511" customWidth="1"/>
    <col min="14" max="14" width="13.875" style="3511" customWidth="1"/>
    <col min="15" max="15" width="11.125" style="3511" customWidth="1"/>
    <col min="16" max="16" width="9.875" style="3511" customWidth="1"/>
    <col min="17" max="17" width="12.5" style="3511" customWidth="1"/>
    <col min="18" max="18" width="15.375" style="3511" customWidth="1"/>
    <col min="19" max="20" width="10.5" style="3511" customWidth="1"/>
    <col min="21" max="21" width="11.625" style="3511" customWidth="1"/>
    <col min="22" max="22" width="14.125" style="3511" customWidth="1"/>
    <col min="23" max="25" width="13.625" style="3511" hidden="1" customWidth="1" outlineLevel="1"/>
    <col min="26" max="26" width="11.625" style="3584" hidden="1" customWidth="1" outlineLevel="1"/>
    <col min="27" max="27" width="15.375" style="3511" hidden="1" customWidth="1" outlineLevel="1"/>
    <col min="28" max="28" width="12.125" style="3511" hidden="1" customWidth="1" outlineLevel="1"/>
    <col min="29" max="29" width="12.25" style="3511" hidden="1" customWidth="1" outlineLevel="1"/>
    <col min="30" max="30" width="18" style="3511" hidden="1" customWidth="1" outlineLevel="1"/>
    <col min="31" max="31" width="9.875" style="3511" hidden="1" customWidth="1" outlineLevel="1"/>
    <col min="32" max="32" width="12.25" style="3511" hidden="1" customWidth="1" outlineLevel="1"/>
    <col min="33" max="33" width="12.5" style="3511" hidden="1" customWidth="1" outlineLevel="1"/>
    <col min="34" max="34" width="11.25" style="3511" hidden="1" customWidth="1" outlineLevel="1"/>
    <col min="35" max="35" width="17.875" style="3511" hidden="1" customWidth="1" outlineLevel="1"/>
    <col min="36" max="36" width="9.875" style="3511" hidden="1" customWidth="1" outlineLevel="1"/>
    <col min="37" max="37" width="13.875" style="3511" hidden="1" customWidth="1" outlineLevel="1"/>
    <col min="38" max="38" width="12.25" style="3511" hidden="1" customWidth="1" outlineLevel="1"/>
    <col min="39" max="39" width="11.625" style="3511" hidden="1" customWidth="1" outlineLevel="1"/>
    <col min="40" max="40" width="17.625" style="3583" hidden="1" customWidth="1" outlineLevel="1"/>
    <col min="41" max="41" width="9.875" style="3511" hidden="1" customWidth="1" outlineLevel="1"/>
    <col min="42" max="42" width="12.5" style="3511" hidden="1" customWidth="1" outlineLevel="1"/>
    <col min="43" max="44" width="11.625" style="3511" hidden="1" customWidth="1" outlineLevel="1"/>
    <col min="45" max="45" width="17.875" style="3583" hidden="1" customWidth="1" outlineLevel="1"/>
    <col min="46" max="46" width="12.125" style="3511" hidden="1" customWidth="1" outlineLevel="1"/>
    <col min="47" max="47" width="12.625" style="3511" hidden="1" customWidth="1" outlineLevel="1"/>
    <col min="48" max="49" width="12.125" style="3511" hidden="1" customWidth="1" outlineLevel="1"/>
    <col min="50" max="50" width="20" style="3511" hidden="1" customWidth="1" outlineLevel="1"/>
    <col min="51" max="51" width="11.5" style="3511" hidden="1" customWidth="1" outlineLevel="1"/>
    <col min="52" max="52" width="12.75" style="3511" hidden="1" customWidth="1" outlineLevel="1"/>
    <col min="53" max="53" width="12.375" style="3511" hidden="1" customWidth="1" outlineLevel="1"/>
    <col min="54" max="54" width="11" style="3511" hidden="1" customWidth="1" outlineLevel="1"/>
    <col min="55" max="55" width="19.75" style="3583" hidden="1" customWidth="1" outlineLevel="1"/>
    <col min="56" max="56" width="10" style="3511" hidden="1" customWidth="1" outlineLevel="1"/>
    <col min="57" max="57" width="12.5" style="3511" hidden="1" customWidth="1" outlineLevel="1"/>
    <col min="58" max="58" width="11.625" style="3511" hidden="1" customWidth="1" outlineLevel="1"/>
    <col min="59" max="59" width="11" style="3511" hidden="1" customWidth="1" outlineLevel="1"/>
    <col min="60" max="60" width="13.75" style="3583" hidden="1" customWidth="1" outlineLevel="1"/>
    <col min="61" max="61" width="11" style="3511" hidden="1" customWidth="1" outlineLevel="1"/>
    <col min="62" max="63" width="12.5" style="3511" hidden="1" customWidth="1" outlineLevel="1"/>
    <col min="64" max="64" width="11" style="3511" hidden="1" customWidth="1" outlineLevel="1"/>
    <col min="65" max="65" width="18.125" style="3583" hidden="1" customWidth="1" outlineLevel="1"/>
    <col min="66" max="66" width="9.625" style="3511" hidden="1" customWidth="1" outlineLevel="1"/>
    <col min="67" max="67" width="13.125" style="3511" hidden="1" customWidth="1" outlineLevel="1"/>
    <col min="68" max="69" width="12.75" style="3511" hidden="1" customWidth="1" outlineLevel="1"/>
    <col min="70" max="70" width="44" style="3583" hidden="1" customWidth="1" outlineLevel="1"/>
    <col min="71" max="74" width="4.75" style="3511" hidden="1" customWidth="1" outlineLevel="1"/>
    <col min="75" max="75" width="4.75" style="3583" hidden="1" customWidth="1" outlineLevel="1"/>
    <col min="76" max="84" width="4.75" style="3511" hidden="1" customWidth="1" outlineLevel="1"/>
    <col min="85" max="85" width="4.75" style="3583" hidden="1" customWidth="1" outlineLevel="1"/>
    <col min="86" max="86" width="13.875" style="3511" customWidth="1" collapsed="1"/>
    <col min="87" max="87" width="9" style="3511" customWidth="1"/>
    <col min="88" max="16384" width="9" style="3511"/>
  </cols>
  <sheetData>
    <row r="1" spans="1:86" ht="18.600000000000001" customHeight="1" thickBot="1">
      <c r="A1" s="4009" t="s">
        <v>3552</v>
      </c>
      <c r="B1" s="4010"/>
      <c r="C1" s="4010"/>
      <c r="D1" s="4010"/>
      <c r="E1" s="4010"/>
      <c r="F1" s="4010"/>
      <c r="G1" s="4010"/>
      <c r="H1" s="4010"/>
      <c r="I1" s="4010"/>
      <c r="J1" s="4010"/>
      <c r="K1" s="4010"/>
      <c r="L1" s="4010"/>
      <c r="M1" s="4010"/>
      <c r="N1" s="4010"/>
      <c r="O1" s="4010"/>
      <c r="P1" s="4010"/>
      <c r="Q1" s="4010"/>
      <c r="R1" s="4010"/>
      <c r="S1" s="4010"/>
      <c r="T1" s="4010"/>
      <c r="U1" s="4010"/>
      <c r="V1" s="4010"/>
      <c r="W1" s="3506"/>
      <c r="X1" s="3506"/>
      <c r="Y1" s="3506"/>
      <c r="Z1" s="3507"/>
      <c r="AA1" s="3508"/>
      <c r="AB1" s="3508"/>
      <c r="AC1" s="3508"/>
      <c r="AD1" s="3508"/>
      <c r="AE1" s="3508"/>
      <c r="AF1" s="3508"/>
      <c r="AG1" s="3508"/>
      <c r="AH1" s="3508"/>
      <c r="AI1" s="3508"/>
      <c r="AJ1" s="3508"/>
      <c r="AK1" s="3508"/>
      <c r="AL1" s="3508"/>
      <c r="AM1" s="3508"/>
      <c r="AN1" s="3509"/>
      <c r="AO1" s="3508"/>
      <c r="AP1" s="3508"/>
      <c r="AQ1" s="3508"/>
      <c r="AR1" s="3508"/>
      <c r="AS1" s="3509"/>
      <c r="AT1" s="3508"/>
      <c r="AU1" s="3508"/>
      <c r="AV1" s="3508"/>
      <c r="AW1" s="3508"/>
      <c r="AX1" s="3508"/>
      <c r="AY1" s="3508"/>
      <c r="AZ1" s="3508"/>
      <c r="BA1" s="3508"/>
      <c r="BB1" s="3508"/>
      <c r="BC1" s="3509"/>
      <c r="BD1" s="3508"/>
      <c r="BE1" s="3508"/>
      <c r="BF1" s="3508"/>
      <c r="BG1" s="3508"/>
      <c r="BH1" s="3509"/>
      <c r="BI1" s="3508"/>
      <c r="BJ1" s="3508"/>
      <c r="BK1" s="3508"/>
      <c r="BL1" s="3508"/>
      <c r="BM1" s="3509"/>
      <c r="BN1" s="3508"/>
      <c r="BO1" s="3508"/>
      <c r="BP1" s="3508"/>
      <c r="BQ1" s="3508"/>
      <c r="BR1" s="3509"/>
      <c r="BS1" s="3508"/>
      <c r="BT1" s="3508"/>
      <c r="BU1" s="3508"/>
      <c r="BV1" s="3508"/>
      <c r="BW1" s="3509"/>
      <c r="BX1" s="3510"/>
      <c r="BY1" s="3508"/>
      <c r="BZ1" s="3508"/>
      <c r="CA1" s="3508"/>
      <c r="CB1" s="3508"/>
      <c r="CC1" s="3508"/>
      <c r="CD1" s="3508"/>
      <c r="CE1" s="3508"/>
      <c r="CF1" s="3508"/>
      <c r="CG1" s="3509"/>
      <c r="CH1" s="3508"/>
    </row>
    <row r="2" spans="1:86" ht="15" customHeight="1" thickBot="1">
      <c r="A2" s="4011" t="s">
        <v>3553</v>
      </c>
      <c r="B2" s="4012"/>
      <c r="C2" s="4012"/>
      <c r="D2" s="4012"/>
      <c r="E2" s="4012"/>
      <c r="F2" s="4012"/>
      <c r="G2" s="4012"/>
      <c r="H2" s="4012"/>
      <c r="I2" s="4012"/>
      <c r="J2" s="4012"/>
      <c r="K2" s="4012"/>
      <c r="L2" s="4012"/>
      <c r="M2" s="4012"/>
      <c r="N2" s="4012"/>
      <c r="O2" s="4012"/>
      <c r="P2" s="4012"/>
      <c r="Q2" s="4012"/>
      <c r="R2" s="4012"/>
      <c r="S2" s="4012"/>
      <c r="T2" s="4012"/>
      <c r="U2" s="4012"/>
      <c r="V2" s="4013"/>
      <c r="W2" s="4014" t="s">
        <v>3554</v>
      </c>
      <c r="X2" s="4014" t="s">
        <v>3555</v>
      </c>
      <c r="Y2" s="4014" t="s">
        <v>3556</v>
      </c>
      <c r="Z2" s="4018" t="s">
        <v>3557</v>
      </c>
      <c r="AA2" s="4019"/>
      <c r="AB2" s="4019"/>
      <c r="AC2" s="4019"/>
      <c r="AD2" s="4019"/>
      <c r="AE2" s="4019"/>
      <c r="AF2" s="4019"/>
      <c r="AG2" s="4019"/>
      <c r="AH2" s="4019"/>
      <c r="AI2" s="4019"/>
      <c r="AJ2" s="4019"/>
      <c r="AK2" s="4019"/>
      <c r="AL2" s="4019"/>
      <c r="AM2" s="4019"/>
      <c r="AN2" s="4019"/>
      <c r="AO2" s="4019"/>
      <c r="AP2" s="4019"/>
      <c r="AQ2" s="4019"/>
      <c r="AR2" s="4019"/>
      <c r="AS2" s="4019"/>
      <c r="AT2" s="4019"/>
      <c r="AU2" s="4019"/>
      <c r="AV2" s="4019"/>
      <c r="AW2" s="4019"/>
      <c r="AX2" s="4020"/>
      <c r="AY2" s="4019"/>
      <c r="AZ2" s="4019"/>
      <c r="BA2" s="4019"/>
      <c r="BB2" s="4019"/>
      <c r="BC2" s="4019"/>
      <c r="BD2" s="4019"/>
      <c r="BE2" s="4019"/>
      <c r="BF2" s="4019"/>
      <c r="BG2" s="4019"/>
      <c r="BH2" s="4019"/>
      <c r="BI2" s="4019"/>
      <c r="BJ2" s="4019"/>
      <c r="BK2" s="4019"/>
      <c r="BL2" s="4019"/>
      <c r="BM2" s="4019"/>
      <c r="BN2" s="4019"/>
      <c r="BO2" s="4019"/>
      <c r="BP2" s="4019"/>
      <c r="BQ2" s="4019"/>
      <c r="BR2" s="4019"/>
      <c r="BS2" s="4019"/>
      <c r="BT2" s="4019"/>
      <c r="BU2" s="4019"/>
      <c r="BV2" s="4019"/>
      <c r="BW2" s="4019"/>
      <c r="BX2" s="4019"/>
      <c r="BY2" s="4019"/>
      <c r="BZ2" s="4019"/>
      <c r="CA2" s="4019"/>
      <c r="CB2" s="4019"/>
      <c r="CC2" s="4021"/>
      <c r="CD2" s="4021"/>
      <c r="CE2" s="4021"/>
      <c r="CF2" s="4021"/>
      <c r="CG2" s="4021"/>
      <c r="CH2" s="4019"/>
    </row>
    <row r="3" spans="1:86" ht="16.149999999999999" customHeight="1">
      <c r="A3" s="4022" t="s">
        <v>3558</v>
      </c>
      <c r="B3" s="4016" t="s">
        <v>3559</v>
      </c>
      <c r="C3" s="4024" t="s">
        <v>3560</v>
      </c>
      <c r="D3" s="3997" t="s">
        <v>3561</v>
      </c>
      <c r="E3" s="4016" t="s">
        <v>3562</v>
      </c>
      <c r="F3" s="3992" t="s">
        <v>3563</v>
      </c>
      <c r="G3" s="3990" t="s">
        <v>3420</v>
      </c>
      <c r="H3" s="4016" t="s">
        <v>3564</v>
      </c>
      <c r="I3" s="4016" t="s">
        <v>3565</v>
      </c>
      <c r="J3" s="3997" t="s">
        <v>3566</v>
      </c>
      <c r="K3" s="3997" t="s">
        <v>3567</v>
      </c>
      <c r="L3" s="3999" t="s">
        <v>3568</v>
      </c>
      <c r="M3" s="4001" t="s">
        <v>3569</v>
      </c>
      <c r="N3" s="3994" t="s">
        <v>3570</v>
      </c>
      <c r="O3" s="4003" t="s">
        <v>3571</v>
      </c>
      <c r="P3" s="4004"/>
      <c r="Q3" s="4005"/>
      <c r="R3" s="3994" t="s">
        <v>3572</v>
      </c>
      <c r="S3" s="3990" t="s">
        <v>3573</v>
      </c>
      <c r="T3" s="3992" t="s">
        <v>3574</v>
      </c>
      <c r="U3" s="3992" t="s">
        <v>3575</v>
      </c>
      <c r="V3" s="3994" t="s">
        <v>3576</v>
      </c>
      <c r="W3" s="4015"/>
      <c r="X3" s="4015"/>
      <c r="Y3" s="4015"/>
      <c r="Z3" s="3996">
        <v>44197</v>
      </c>
      <c r="AA3" s="3988"/>
      <c r="AB3" s="3988"/>
      <c r="AC3" s="3988"/>
      <c r="AD3" s="3989"/>
      <c r="AE3" s="3988">
        <v>44228</v>
      </c>
      <c r="AF3" s="3988"/>
      <c r="AG3" s="3988"/>
      <c r="AH3" s="3988"/>
      <c r="AI3" s="3989"/>
      <c r="AJ3" s="3988">
        <v>44256</v>
      </c>
      <c r="AK3" s="3988"/>
      <c r="AL3" s="3988"/>
      <c r="AM3" s="3988"/>
      <c r="AN3" s="3989"/>
      <c r="AO3" s="3988">
        <v>44287</v>
      </c>
      <c r="AP3" s="3988"/>
      <c r="AQ3" s="3988"/>
      <c r="AR3" s="3988"/>
      <c r="AS3" s="3989"/>
      <c r="AT3" s="3988">
        <v>44317</v>
      </c>
      <c r="AU3" s="3988"/>
      <c r="AV3" s="3988"/>
      <c r="AW3" s="3988"/>
      <c r="AX3" s="4008"/>
      <c r="AY3" s="3988">
        <v>44348</v>
      </c>
      <c r="AZ3" s="3988"/>
      <c r="BA3" s="3988"/>
      <c r="BB3" s="3988"/>
      <c r="BC3" s="3989"/>
      <c r="BD3" s="3988">
        <v>44378</v>
      </c>
      <c r="BE3" s="3988"/>
      <c r="BF3" s="3988"/>
      <c r="BG3" s="3988"/>
      <c r="BH3" s="3989"/>
      <c r="BI3" s="3988">
        <v>44409</v>
      </c>
      <c r="BJ3" s="3988"/>
      <c r="BK3" s="3988"/>
      <c r="BL3" s="3988"/>
      <c r="BM3" s="3989"/>
      <c r="BN3" s="3988">
        <v>44440</v>
      </c>
      <c r="BO3" s="3988"/>
      <c r="BP3" s="3988"/>
      <c r="BQ3" s="3988"/>
      <c r="BR3" s="3989"/>
      <c r="BS3" s="3988">
        <v>44470</v>
      </c>
      <c r="BT3" s="3988"/>
      <c r="BU3" s="3988"/>
      <c r="BV3" s="3988"/>
      <c r="BW3" s="3989"/>
      <c r="BX3" s="3988">
        <v>44501</v>
      </c>
      <c r="BY3" s="3988"/>
      <c r="BZ3" s="3988"/>
      <c r="CA3" s="3988"/>
      <c r="CB3" s="3989"/>
      <c r="CC3" s="3988">
        <v>44531</v>
      </c>
      <c r="CD3" s="3988"/>
      <c r="CE3" s="3988"/>
      <c r="CF3" s="3988"/>
      <c r="CG3" s="3989"/>
      <c r="CH3" s="4026" t="s">
        <v>3577</v>
      </c>
    </row>
    <row r="4" spans="1:86" ht="16.149999999999999" customHeight="1" thickBot="1">
      <c r="A4" s="4023"/>
      <c r="B4" s="4017"/>
      <c r="C4" s="4025"/>
      <c r="D4" s="3998"/>
      <c r="E4" s="4017"/>
      <c r="F4" s="3993"/>
      <c r="G4" s="3991"/>
      <c r="H4" s="4017"/>
      <c r="I4" s="4017"/>
      <c r="J4" s="3998"/>
      <c r="K4" s="3998"/>
      <c r="L4" s="4000"/>
      <c r="M4" s="4002"/>
      <c r="N4" s="3995"/>
      <c r="O4" s="3512" t="s">
        <v>616</v>
      </c>
      <c r="P4" s="3512" t="s">
        <v>3578</v>
      </c>
      <c r="Q4" s="3513" t="s">
        <v>3579</v>
      </c>
      <c r="R4" s="3995"/>
      <c r="S4" s="3991"/>
      <c r="T4" s="3993"/>
      <c r="U4" s="3993"/>
      <c r="V4" s="3995"/>
      <c r="W4" s="3514" t="s">
        <v>3580</v>
      </c>
      <c r="X4" s="3514" t="s">
        <v>3580</v>
      </c>
      <c r="Y4" s="3514" t="s">
        <v>3580</v>
      </c>
      <c r="Z4" s="3515" t="s">
        <v>616</v>
      </c>
      <c r="AA4" s="3516" t="s">
        <v>3580</v>
      </c>
      <c r="AB4" s="3516" t="s">
        <v>3581</v>
      </c>
      <c r="AC4" s="3516" t="s">
        <v>3582</v>
      </c>
      <c r="AD4" s="3517" t="s">
        <v>3583</v>
      </c>
      <c r="AE4" s="3518" t="s">
        <v>616</v>
      </c>
      <c r="AF4" s="3516" t="s">
        <v>3580</v>
      </c>
      <c r="AG4" s="3516" t="s">
        <v>3581</v>
      </c>
      <c r="AH4" s="3516" t="s">
        <v>3582</v>
      </c>
      <c r="AI4" s="3519" t="s">
        <v>3583</v>
      </c>
      <c r="AJ4" s="3516" t="s">
        <v>616</v>
      </c>
      <c r="AK4" s="3516" t="s">
        <v>3580</v>
      </c>
      <c r="AL4" s="3516" t="s">
        <v>3581</v>
      </c>
      <c r="AM4" s="3516" t="s">
        <v>3582</v>
      </c>
      <c r="AN4" s="3519" t="s">
        <v>3583</v>
      </c>
      <c r="AO4" s="3516" t="s">
        <v>616</v>
      </c>
      <c r="AP4" s="3516" t="s">
        <v>3580</v>
      </c>
      <c r="AQ4" s="3516" t="s">
        <v>3581</v>
      </c>
      <c r="AR4" s="3516" t="s">
        <v>3582</v>
      </c>
      <c r="AS4" s="3519" t="s">
        <v>3583</v>
      </c>
      <c r="AT4" s="3516" t="s">
        <v>616</v>
      </c>
      <c r="AU4" s="3516" t="s">
        <v>3580</v>
      </c>
      <c r="AV4" s="3516" t="s">
        <v>3581</v>
      </c>
      <c r="AW4" s="3516" t="s">
        <v>3582</v>
      </c>
      <c r="AX4" s="3520" t="s">
        <v>3583</v>
      </c>
      <c r="AY4" s="3516" t="s">
        <v>616</v>
      </c>
      <c r="AZ4" s="3516" t="s">
        <v>3580</v>
      </c>
      <c r="BA4" s="3516" t="s">
        <v>3581</v>
      </c>
      <c r="BB4" s="3516" t="s">
        <v>3582</v>
      </c>
      <c r="BC4" s="3519" t="s">
        <v>3583</v>
      </c>
      <c r="BD4" s="3516" t="s">
        <v>616</v>
      </c>
      <c r="BE4" s="3516" t="s">
        <v>3580</v>
      </c>
      <c r="BF4" s="3516" t="s">
        <v>3581</v>
      </c>
      <c r="BG4" s="3516" t="s">
        <v>3582</v>
      </c>
      <c r="BH4" s="3521" t="s">
        <v>3583</v>
      </c>
      <c r="BI4" s="3516" t="s">
        <v>616</v>
      </c>
      <c r="BJ4" s="3516" t="s">
        <v>3580</v>
      </c>
      <c r="BK4" s="3516" t="s">
        <v>3581</v>
      </c>
      <c r="BL4" s="3516" t="s">
        <v>3582</v>
      </c>
      <c r="BM4" s="3519" t="s">
        <v>3583</v>
      </c>
      <c r="BN4" s="3516" t="s">
        <v>616</v>
      </c>
      <c r="BO4" s="3516" t="s">
        <v>3580</v>
      </c>
      <c r="BP4" s="3516" t="s">
        <v>3581</v>
      </c>
      <c r="BQ4" s="3516" t="s">
        <v>3582</v>
      </c>
      <c r="BR4" s="3519" t="s">
        <v>3583</v>
      </c>
      <c r="BS4" s="3516" t="s">
        <v>616</v>
      </c>
      <c r="BT4" s="3516" t="s">
        <v>3580</v>
      </c>
      <c r="BU4" s="3516" t="s">
        <v>3581</v>
      </c>
      <c r="BV4" s="3516" t="s">
        <v>3582</v>
      </c>
      <c r="BW4" s="3519" t="s">
        <v>3583</v>
      </c>
      <c r="BX4" s="3516" t="s">
        <v>616</v>
      </c>
      <c r="BY4" s="3516" t="s">
        <v>3580</v>
      </c>
      <c r="BZ4" s="3516" t="s">
        <v>3581</v>
      </c>
      <c r="CA4" s="3516" t="s">
        <v>3582</v>
      </c>
      <c r="CB4" s="3519" t="s">
        <v>3583</v>
      </c>
      <c r="CC4" s="3516" t="s">
        <v>616</v>
      </c>
      <c r="CD4" s="3516" t="s">
        <v>3580</v>
      </c>
      <c r="CE4" s="3516" t="s">
        <v>3581</v>
      </c>
      <c r="CF4" s="3516" t="s">
        <v>3582</v>
      </c>
      <c r="CG4" s="3519" t="s">
        <v>3583</v>
      </c>
      <c r="CH4" s="4027"/>
    </row>
    <row r="5" spans="1:86" ht="15.75" customHeight="1">
      <c r="A5" s="3522">
        <v>1</v>
      </c>
      <c r="B5" s="3522">
        <v>1</v>
      </c>
      <c r="C5" s="3523">
        <v>101</v>
      </c>
      <c r="D5" s="3524" t="s">
        <v>3584</v>
      </c>
      <c r="E5" s="3525" t="s">
        <v>3585</v>
      </c>
      <c r="F5" s="3526">
        <v>44483</v>
      </c>
      <c r="G5" s="3527">
        <v>174.63</v>
      </c>
      <c r="H5" s="3527"/>
      <c r="I5" s="3528">
        <v>43296</v>
      </c>
      <c r="J5" s="3529">
        <v>43296</v>
      </c>
      <c r="K5" s="3529">
        <v>45121</v>
      </c>
      <c r="L5" s="3530" t="s">
        <v>3586</v>
      </c>
      <c r="M5" s="3531">
        <v>10.35</v>
      </c>
      <c r="N5" s="3532">
        <v>54975.71</v>
      </c>
      <c r="O5" s="3533">
        <v>44392</v>
      </c>
      <c r="P5" s="3531">
        <f>M5*1.08</f>
        <v>11.178000000000001</v>
      </c>
      <c r="Q5" s="3532">
        <v>59373.77</v>
      </c>
      <c r="R5" s="3532">
        <v>3133615.47</v>
      </c>
      <c r="S5" s="3522" t="s">
        <v>3587</v>
      </c>
      <c r="T5" s="3522"/>
      <c r="U5" s="3534">
        <f>ROUND(G5*33.6,2)*3</f>
        <v>17602.71</v>
      </c>
      <c r="V5" s="3535">
        <v>164927.13</v>
      </c>
      <c r="W5" s="3536">
        <v>329854.26</v>
      </c>
      <c r="X5" s="3537">
        <v>659708.52</v>
      </c>
      <c r="Y5" s="3537">
        <v>659708.52</v>
      </c>
      <c r="Z5" s="3538"/>
      <c r="AA5" s="3539"/>
      <c r="AB5" s="3540">
        <f t="shared" ref="AB5:AB57" si="0">ROUND(AA5/1.09,2)</f>
        <v>0</v>
      </c>
      <c r="AC5" s="3541"/>
      <c r="AD5" s="3539"/>
      <c r="AE5" s="3538"/>
      <c r="AF5" s="3539"/>
      <c r="AG5" s="3540">
        <f t="shared" ref="AG5:AG57" si="1">ROUND(AF5/1.09,2)</f>
        <v>0</v>
      </c>
      <c r="AH5" s="3541"/>
      <c r="AI5" s="3539"/>
      <c r="AJ5" s="3538">
        <v>44279</v>
      </c>
      <c r="AK5" s="3539">
        <v>343048.44</v>
      </c>
      <c r="AL5" s="3540">
        <f t="shared" ref="AL5:AL57" si="2">ROUND(AK5/1.09,2)</f>
        <v>314723.34000000003</v>
      </c>
      <c r="AM5" s="3541">
        <v>37604.82</v>
      </c>
      <c r="AN5" s="3542" t="s">
        <v>3588</v>
      </c>
      <c r="AO5" s="3538"/>
      <c r="AP5" s="3539"/>
      <c r="AQ5" s="3540">
        <f t="shared" ref="AQ5:AQ57" si="3">ROUND(AP5/1.09,2)</f>
        <v>0</v>
      </c>
      <c r="AR5" s="3539"/>
      <c r="AS5" s="3542"/>
      <c r="AT5" s="3538"/>
      <c r="AU5" s="3543"/>
      <c r="AV5" s="3540">
        <f t="shared" ref="AV5:AV57" si="4">ROUND(AU5/1.09,2)</f>
        <v>0</v>
      </c>
      <c r="AW5" s="3539"/>
      <c r="AX5" s="3544"/>
      <c r="AY5" s="3538"/>
      <c r="AZ5" s="3539"/>
      <c r="BA5" s="3540">
        <f t="shared" ref="BA5:BA57" si="5">ROUND(AZ5/1.09,2)</f>
        <v>0</v>
      </c>
      <c r="BB5" s="3539"/>
      <c r="BC5" s="3542"/>
      <c r="BD5" s="3545"/>
      <c r="BE5" s="3539"/>
      <c r="BF5" s="3540">
        <f t="shared" ref="BF5:BF57" si="6">ROUND(BE5/1.09,2)</f>
        <v>0</v>
      </c>
      <c r="BG5" s="3539"/>
      <c r="BH5" s="3542"/>
      <c r="BI5" s="3538"/>
      <c r="BJ5" s="3539"/>
      <c r="BK5" s="3540">
        <f t="shared" ref="BK5:BK56" si="7">ROUND(BJ5/1.09,2)</f>
        <v>0</v>
      </c>
      <c r="BL5" s="3539"/>
      <c r="BM5" s="3542"/>
      <c r="BN5" s="3546">
        <v>44463</v>
      </c>
      <c r="BO5" s="3541">
        <f>Q5*6</f>
        <v>356242.62</v>
      </c>
      <c r="BP5" s="3540">
        <f t="shared" ref="BP5:BP57" si="8">ROUND(BO5/1.09,2)</f>
        <v>326828.09000000003</v>
      </c>
      <c r="BQ5" s="3541"/>
      <c r="BR5" s="3542" t="s">
        <v>3589</v>
      </c>
      <c r="BS5" s="3545"/>
      <c r="BT5" s="3539"/>
      <c r="BU5" s="3540">
        <f t="shared" ref="BU5:BU57" si="9">ROUND(BT5/1.09,2)</f>
        <v>0</v>
      </c>
      <c r="BV5" s="3539"/>
      <c r="BW5" s="3542"/>
      <c r="BX5" s="3546"/>
      <c r="BY5" s="3539"/>
      <c r="BZ5" s="3540">
        <f t="shared" ref="BZ5:BZ57" si="10">ROUND(BY5/1.09,2)</f>
        <v>0</v>
      </c>
      <c r="CA5" s="3539"/>
      <c r="CB5" s="3539"/>
      <c r="CC5" s="3539"/>
      <c r="CD5" s="3539"/>
      <c r="CE5" s="3540">
        <f t="shared" ref="CE5:CE57" si="11">ROUND(CD5/1.09,2)</f>
        <v>0</v>
      </c>
      <c r="CF5" s="3539"/>
      <c r="CG5" s="3542"/>
      <c r="CH5" s="3547">
        <f t="shared" ref="CH5:CH57" si="12">CD5+BT5+BO5+BJ5+BE5+AZ5+AU5+AP5+AK5+AF5+AA5+BY5</f>
        <v>699291.06</v>
      </c>
    </row>
    <row r="6" spans="1:86" ht="15.75" customHeight="1">
      <c r="A6" s="3522">
        <v>2</v>
      </c>
      <c r="B6" s="3522">
        <v>2</v>
      </c>
      <c r="C6" s="3523" t="s">
        <v>3590</v>
      </c>
      <c r="D6" s="3525" t="s">
        <v>3591</v>
      </c>
      <c r="E6" s="3525" t="s">
        <v>3585</v>
      </c>
      <c r="F6" s="3526">
        <v>44519</v>
      </c>
      <c r="G6" s="3548">
        <v>433.78</v>
      </c>
      <c r="H6" s="3527"/>
      <c r="I6" s="3528">
        <v>43332</v>
      </c>
      <c r="J6" s="3533">
        <v>43332</v>
      </c>
      <c r="K6" s="3533">
        <v>45523</v>
      </c>
      <c r="L6" s="3530" t="s">
        <v>3592</v>
      </c>
      <c r="M6" s="3549">
        <v>5.7</v>
      </c>
      <c r="N6" s="3532">
        <v>75206.61</v>
      </c>
      <c r="O6" s="3533">
        <v>44793</v>
      </c>
      <c r="P6" s="3531">
        <f>M6*1.06</f>
        <v>6.0420000000000007</v>
      </c>
      <c r="Q6" s="3532">
        <v>79692.61</v>
      </c>
      <c r="R6" s="3532">
        <v>5114049.4800000004</v>
      </c>
      <c r="S6" s="3550" t="s">
        <v>3593</v>
      </c>
      <c r="T6" s="3550"/>
      <c r="U6" s="3534">
        <f t="shared" ref="U6:U56" si="13">ROUND(G6*33.6,2)*3</f>
        <v>43725.03</v>
      </c>
      <c r="V6" s="3535">
        <v>225619.83</v>
      </c>
      <c r="W6" s="3536">
        <v>225619.83</v>
      </c>
      <c r="X6" s="3536">
        <v>827272.71</v>
      </c>
      <c r="Y6" s="3537">
        <v>902479.32</v>
      </c>
      <c r="Z6" s="3538"/>
      <c r="AA6" s="3539"/>
      <c r="AB6" s="3540">
        <f t="shared" si="0"/>
        <v>0</v>
      </c>
      <c r="AC6" s="3541"/>
      <c r="AD6" s="3539"/>
      <c r="AE6" s="3538">
        <v>44229</v>
      </c>
      <c r="AF6" s="3539">
        <v>225619.83</v>
      </c>
      <c r="AG6" s="3540">
        <f t="shared" si="1"/>
        <v>206990.67</v>
      </c>
      <c r="AH6" s="3541">
        <v>43725.03</v>
      </c>
      <c r="AI6" s="3539" t="s">
        <v>3594</v>
      </c>
      <c r="AJ6" s="3538"/>
      <c r="AK6" s="3539"/>
      <c r="AL6" s="3540">
        <f t="shared" si="2"/>
        <v>0</v>
      </c>
      <c r="AM6" s="3541"/>
      <c r="AN6" s="3542"/>
      <c r="AO6" s="3538"/>
      <c r="AP6" s="3539"/>
      <c r="AQ6" s="3540">
        <f t="shared" si="3"/>
        <v>0</v>
      </c>
      <c r="AR6" s="3539"/>
      <c r="AS6" s="3542"/>
      <c r="AT6" s="3538">
        <v>44326</v>
      </c>
      <c r="AU6" s="3539">
        <v>225619.83</v>
      </c>
      <c r="AV6" s="3540">
        <f t="shared" si="4"/>
        <v>206990.67</v>
      </c>
      <c r="AW6" s="3539">
        <v>43725.03</v>
      </c>
      <c r="AX6" s="3544" t="s">
        <v>3595</v>
      </c>
      <c r="AY6" s="3538"/>
      <c r="AZ6" s="3539"/>
      <c r="BA6" s="3540">
        <f t="shared" si="5"/>
        <v>0</v>
      </c>
      <c r="BB6" s="3539"/>
      <c r="BC6" s="3542"/>
      <c r="BD6" s="3545"/>
      <c r="BE6" s="3539"/>
      <c r="BF6" s="3540">
        <f t="shared" si="6"/>
        <v>0</v>
      </c>
      <c r="BG6" s="3539"/>
      <c r="BH6" s="3542"/>
      <c r="BI6" s="3538">
        <v>44412</v>
      </c>
      <c r="BJ6" s="3539">
        <v>225619.83</v>
      </c>
      <c r="BK6" s="3540">
        <f t="shared" si="7"/>
        <v>206990.67</v>
      </c>
      <c r="BL6" s="3539">
        <v>43725.01</v>
      </c>
      <c r="BM6" s="3542" t="s">
        <v>3596</v>
      </c>
      <c r="BN6" s="3546"/>
      <c r="BO6" s="3541"/>
      <c r="BP6" s="3540">
        <f t="shared" si="8"/>
        <v>0</v>
      </c>
      <c r="BQ6" s="3541"/>
      <c r="BR6" s="3542"/>
      <c r="BS6" s="3545"/>
      <c r="BT6" s="3539"/>
      <c r="BU6" s="3540">
        <f t="shared" si="9"/>
        <v>0</v>
      </c>
      <c r="BV6" s="3539"/>
      <c r="BW6" s="3542"/>
      <c r="BX6" s="3546"/>
      <c r="BY6" s="3539"/>
      <c r="BZ6" s="3540">
        <f t="shared" si="10"/>
        <v>0</v>
      </c>
      <c r="CA6" s="3539"/>
      <c r="CB6" s="3539"/>
      <c r="CC6" s="3539"/>
      <c r="CD6" s="3539"/>
      <c r="CE6" s="3540">
        <f t="shared" si="11"/>
        <v>0</v>
      </c>
      <c r="CF6" s="3539"/>
      <c r="CG6" s="3542"/>
      <c r="CH6" s="3547">
        <f t="shared" si="12"/>
        <v>676859.49</v>
      </c>
    </row>
    <row r="7" spans="1:86" ht="15.75" customHeight="1">
      <c r="A7" s="3522">
        <v>3</v>
      </c>
      <c r="B7" s="3522">
        <v>1</v>
      </c>
      <c r="C7" s="3523">
        <v>104</v>
      </c>
      <c r="D7" s="3525" t="s">
        <v>3597</v>
      </c>
      <c r="E7" s="3525" t="s">
        <v>3598</v>
      </c>
      <c r="F7" s="3526">
        <v>44530</v>
      </c>
      <c r="G7" s="3548">
        <v>288.77</v>
      </c>
      <c r="H7" s="3527"/>
      <c r="I7" s="3528">
        <v>43982</v>
      </c>
      <c r="J7" s="3533">
        <v>43983</v>
      </c>
      <c r="K7" s="3533">
        <v>45808</v>
      </c>
      <c r="L7" s="3530" t="s">
        <v>3599</v>
      </c>
      <c r="M7" s="3549">
        <v>7.9</v>
      </c>
      <c r="N7" s="3532">
        <v>69389</v>
      </c>
      <c r="O7" s="3533">
        <v>45078</v>
      </c>
      <c r="P7" s="3531">
        <f>M7*1.1</f>
        <v>8.6900000000000013</v>
      </c>
      <c r="Q7" s="3532">
        <v>76328</v>
      </c>
      <c r="R7" s="3532">
        <v>4121712</v>
      </c>
      <c r="S7" s="3550" t="s">
        <v>3593</v>
      </c>
      <c r="T7" s="3550"/>
      <c r="U7" s="3534">
        <f t="shared" si="13"/>
        <v>29108.010000000002</v>
      </c>
      <c r="V7" s="3535">
        <v>208167</v>
      </c>
      <c r="W7" s="3536"/>
      <c r="X7" s="3536"/>
      <c r="Y7" s="3537">
        <v>416337</v>
      </c>
      <c r="Z7" s="3538"/>
      <c r="AA7" s="3539"/>
      <c r="AB7" s="3540">
        <f t="shared" si="0"/>
        <v>0</v>
      </c>
      <c r="AC7" s="3541"/>
      <c r="AD7" s="3539"/>
      <c r="AE7" s="3538">
        <v>44252</v>
      </c>
      <c r="AF7" s="3539">
        <v>208167</v>
      </c>
      <c r="AG7" s="3540">
        <f t="shared" si="1"/>
        <v>190978.9</v>
      </c>
      <c r="AH7" s="3541">
        <v>29108.02</v>
      </c>
      <c r="AI7" s="3539" t="s">
        <v>3600</v>
      </c>
      <c r="AJ7" s="3538"/>
      <c r="AK7" s="3539"/>
      <c r="AL7" s="3540">
        <f t="shared" si="2"/>
        <v>0</v>
      </c>
      <c r="AM7" s="3541"/>
      <c r="AN7" s="3542"/>
      <c r="AO7" s="3538"/>
      <c r="AP7" s="3539"/>
      <c r="AQ7" s="3540">
        <f t="shared" si="3"/>
        <v>0</v>
      </c>
      <c r="AR7" s="3539"/>
      <c r="AS7" s="3542"/>
      <c r="AT7" s="3538">
        <v>44341</v>
      </c>
      <c r="AU7" s="3539">
        <v>208167</v>
      </c>
      <c r="AV7" s="3540">
        <f t="shared" si="4"/>
        <v>190978.9</v>
      </c>
      <c r="AW7" s="3539"/>
      <c r="AX7" s="3544" t="s">
        <v>3601</v>
      </c>
      <c r="AY7" s="3538"/>
      <c r="AZ7" s="3539"/>
      <c r="BA7" s="3540">
        <f t="shared" si="5"/>
        <v>0</v>
      </c>
      <c r="BB7" s="3539"/>
      <c r="BC7" s="3542"/>
      <c r="BD7" s="3545"/>
      <c r="BE7" s="3539"/>
      <c r="BF7" s="3540">
        <f t="shared" si="6"/>
        <v>0</v>
      </c>
      <c r="BG7" s="3539"/>
      <c r="BH7" s="3542"/>
      <c r="BI7" s="3538">
        <v>44436</v>
      </c>
      <c r="BJ7" s="3551">
        <v>208167</v>
      </c>
      <c r="BK7" s="3540">
        <f t="shared" si="7"/>
        <v>190978.9</v>
      </c>
      <c r="BL7" s="3539"/>
      <c r="BM7" s="3542" t="s">
        <v>3602</v>
      </c>
      <c r="BN7" s="3546"/>
      <c r="BO7" s="3541"/>
      <c r="BP7" s="3540">
        <f t="shared" si="8"/>
        <v>0</v>
      </c>
      <c r="BQ7" s="3541"/>
      <c r="BR7" s="3542"/>
      <c r="BS7" s="3545"/>
      <c r="BT7" s="3539"/>
      <c r="BU7" s="3540">
        <f t="shared" si="9"/>
        <v>0</v>
      </c>
      <c r="BV7" s="3539"/>
      <c r="BW7" s="3542"/>
      <c r="BX7" s="3546"/>
      <c r="BY7" s="3539"/>
      <c r="BZ7" s="3540">
        <f t="shared" si="10"/>
        <v>0</v>
      </c>
      <c r="CA7" s="3539"/>
      <c r="CB7" s="3539"/>
      <c r="CC7" s="3539"/>
      <c r="CD7" s="3539"/>
      <c r="CE7" s="3540">
        <f t="shared" si="11"/>
        <v>0</v>
      </c>
      <c r="CF7" s="3539"/>
      <c r="CG7" s="3542"/>
      <c r="CH7" s="3547">
        <f t="shared" si="12"/>
        <v>624501</v>
      </c>
    </row>
    <row r="8" spans="1:86" ht="15.75" hidden="1" customHeight="1">
      <c r="A8" s="3522">
        <v>4</v>
      </c>
      <c r="B8" s="3522">
        <v>1</v>
      </c>
      <c r="C8" s="3523">
        <v>106</v>
      </c>
      <c r="D8" s="3525" t="s">
        <v>3603</v>
      </c>
      <c r="E8" s="3525" t="s">
        <v>3585</v>
      </c>
      <c r="F8" s="3526">
        <v>44592</v>
      </c>
      <c r="G8" s="3548">
        <v>182.8</v>
      </c>
      <c r="H8" s="3527"/>
      <c r="I8" s="3528">
        <v>44397</v>
      </c>
      <c r="J8" s="3533">
        <v>44409</v>
      </c>
      <c r="K8" s="3533">
        <v>46234</v>
      </c>
      <c r="L8" s="3552" t="s">
        <v>3604</v>
      </c>
      <c r="M8" s="3549">
        <v>7.9</v>
      </c>
      <c r="N8" s="3532">
        <v>43925</v>
      </c>
      <c r="O8" s="3533">
        <v>45505</v>
      </c>
      <c r="P8" s="3531">
        <v>8.3000000000000007</v>
      </c>
      <c r="Q8" s="3532">
        <v>46149</v>
      </c>
      <c r="R8" s="3532">
        <v>2669208</v>
      </c>
      <c r="S8" s="3550" t="s">
        <v>3593</v>
      </c>
      <c r="T8" s="3550"/>
      <c r="U8" s="3534">
        <f t="shared" si="13"/>
        <v>18426.239999999998</v>
      </c>
      <c r="V8" s="3535">
        <v>131775</v>
      </c>
      <c r="W8" s="3536">
        <v>156419.29</v>
      </c>
      <c r="X8" s="3536">
        <v>625677.12</v>
      </c>
      <c r="Y8" s="3537">
        <v>200509.23</v>
      </c>
      <c r="Z8" s="3538"/>
      <c r="AA8" s="3539"/>
      <c r="AB8" s="3540">
        <f t="shared" si="0"/>
        <v>0</v>
      </c>
      <c r="AC8" s="3541"/>
      <c r="AD8" s="3539"/>
      <c r="AE8" s="3538"/>
      <c r="AF8" s="3539"/>
      <c r="AG8" s="3540">
        <f t="shared" si="1"/>
        <v>0</v>
      </c>
      <c r="AH8" s="3541"/>
      <c r="AI8" s="3539"/>
      <c r="AJ8" s="3538"/>
      <c r="AK8" s="3539"/>
      <c r="AL8" s="3540">
        <f t="shared" si="2"/>
        <v>0</v>
      </c>
      <c r="AM8" s="3541"/>
      <c r="AN8" s="3542"/>
      <c r="AO8" s="3538"/>
      <c r="AP8" s="3539"/>
      <c r="AQ8" s="3540">
        <f t="shared" si="3"/>
        <v>0</v>
      </c>
      <c r="AR8" s="3539"/>
      <c r="AS8" s="3542"/>
      <c r="AT8" s="3538"/>
      <c r="AU8" s="3539"/>
      <c r="AV8" s="3540">
        <f t="shared" si="4"/>
        <v>0</v>
      </c>
      <c r="AW8" s="3539"/>
      <c r="AX8" s="3544"/>
      <c r="AY8" s="3538"/>
      <c r="AZ8" s="3539"/>
      <c r="BA8" s="3540">
        <f t="shared" si="5"/>
        <v>0</v>
      </c>
      <c r="BB8" s="3539"/>
      <c r="BC8" s="3542"/>
      <c r="BD8" s="3545"/>
      <c r="BE8" s="3539"/>
      <c r="BF8" s="3540">
        <f t="shared" si="6"/>
        <v>0</v>
      </c>
      <c r="BG8" s="3539"/>
      <c r="BH8" s="3542"/>
      <c r="BI8" s="3538">
        <v>44410</v>
      </c>
      <c r="BJ8" s="3539">
        <v>131778</v>
      </c>
      <c r="BK8" s="3540">
        <f t="shared" si="7"/>
        <v>120897.25</v>
      </c>
      <c r="BL8" s="3539"/>
      <c r="BM8" s="3542" t="s">
        <v>3605</v>
      </c>
      <c r="BN8" s="3546"/>
      <c r="BO8" s="3541"/>
      <c r="BP8" s="3540">
        <f t="shared" si="8"/>
        <v>0</v>
      </c>
      <c r="BQ8" s="3541"/>
      <c r="BR8" s="3542"/>
      <c r="BS8" s="3545"/>
      <c r="BT8" s="3539"/>
      <c r="BU8" s="3540">
        <f t="shared" si="9"/>
        <v>0</v>
      </c>
      <c r="BV8" s="3539"/>
      <c r="BW8" s="3542"/>
      <c r="BX8" s="3546"/>
      <c r="BY8" s="3539"/>
      <c r="BZ8" s="3540">
        <f t="shared" si="10"/>
        <v>0</v>
      </c>
      <c r="CA8" s="3539"/>
      <c r="CB8" s="3539"/>
      <c r="CC8" s="3539"/>
      <c r="CD8" s="3539"/>
      <c r="CE8" s="3540">
        <f t="shared" si="11"/>
        <v>0</v>
      </c>
      <c r="CF8" s="3539"/>
      <c r="CG8" s="3542"/>
      <c r="CH8" s="3547">
        <f t="shared" si="12"/>
        <v>131778</v>
      </c>
    </row>
    <row r="9" spans="1:86" ht="15.75" customHeight="1">
      <c r="A9" s="3522">
        <v>5</v>
      </c>
      <c r="B9" s="3522">
        <v>1</v>
      </c>
      <c r="C9" s="3523">
        <v>107</v>
      </c>
      <c r="D9" s="3525" t="s">
        <v>3606</v>
      </c>
      <c r="E9" s="3525" t="s">
        <v>3598</v>
      </c>
      <c r="F9" s="3526">
        <v>44545</v>
      </c>
      <c r="G9" s="3548">
        <v>508.84</v>
      </c>
      <c r="H9" s="3527"/>
      <c r="I9" s="3528">
        <v>43815</v>
      </c>
      <c r="J9" s="3533">
        <v>43815</v>
      </c>
      <c r="K9" s="3533">
        <v>44910</v>
      </c>
      <c r="L9" s="3552" t="s">
        <v>3607</v>
      </c>
      <c r="M9" s="3549">
        <v>5.4</v>
      </c>
      <c r="N9" s="3532">
        <v>83577</v>
      </c>
      <c r="O9" s="3533"/>
      <c r="P9" s="3531"/>
      <c r="Q9" s="3532"/>
      <c r="R9" s="3532">
        <v>2674468</v>
      </c>
      <c r="S9" s="3550" t="s">
        <v>3593</v>
      </c>
      <c r="T9" s="3550"/>
      <c r="U9" s="3534">
        <f t="shared" si="13"/>
        <v>51291.06</v>
      </c>
      <c r="V9" s="3535">
        <v>250731</v>
      </c>
      <c r="W9" s="3536"/>
      <c r="X9" s="3536">
        <v>250733</v>
      </c>
      <c r="Y9" s="3537">
        <v>752194</v>
      </c>
      <c r="Z9" s="3538"/>
      <c r="AA9" s="3539"/>
      <c r="AB9" s="3540">
        <f t="shared" si="0"/>
        <v>0</v>
      </c>
      <c r="AC9" s="3541"/>
      <c r="AD9" s="3539"/>
      <c r="AE9" s="3538"/>
      <c r="AF9" s="3539"/>
      <c r="AG9" s="3540">
        <f t="shared" si="1"/>
        <v>0</v>
      </c>
      <c r="AH9" s="3541"/>
      <c r="AI9" s="3539"/>
      <c r="AJ9" s="3538">
        <v>44271</v>
      </c>
      <c r="AK9" s="3539">
        <v>250731</v>
      </c>
      <c r="AL9" s="3540">
        <f t="shared" si="2"/>
        <v>230028.44</v>
      </c>
      <c r="AM9" s="3541">
        <v>51291.07</v>
      </c>
      <c r="AN9" s="3542" t="s">
        <v>3608</v>
      </c>
      <c r="AO9" s="3538"/>
      <c r="AP9" s="3539"/>
      <c r="AQ9" s="3540">
        <f t="shared" si="3"/>
        <v>0</v>
      </c>
      <c r="AR9" s="3539"/>
      <c r="AS9" s="3542"/>
      <c r="AT9" s="3538"/>
      <c r="AU9" s="3539"/>
      <c r="AV9" s="3540">
        <f t="shared" si="4"/>
        <v>0</v>
      </c>
      <c r="AW9" s="3539"/>
      <c r="AX9" s="3544"/>
      <c r="AY9" s="3538">
        <v>44361</v>
      </c>
      <c r="AZ9" s="3539">
        <v>250731</v>
      </c>
      <c r="BA9" s="3540">
        <f t="shared" si="5"/>
        <v>230028.44</v>
      </c>
      <c r="BB9" s="3539"/>
      <c r="BC9" s="3542" t="s">
        <v>3609</v>
      </c>
      <c r="BD9" s="3545"/>
      <c r="BE9" s="3539"/>
      <c r="BF9" s="3540">
        <f t="shared" si="6"/>
        <v>0</v>
      </c>
      <c r="BG9" s="3539"/>
      <c r="BH9" s="3542"/>
      <c r="BI9" s="3538"/>
      <c r="BJ9" s="3539"/>
      <c r="BK9" s="3540">
        <f t="shared" si="7"/>
        <v>0</v>
      </c>
      <c r="BL9" s="3539"/>
      <c r="BM9" s="3542"/>
      <c r="BN9" s="3546">
        <v>44454</v>
      </c>
      <c r="BO9" s="3541">
        <v>250731</v>
      </c>
      <c r="BP9" s="3540">
        <f t="shared" si="8"/>
        <v>230028.44</v>
      </c>
      <c r="BQ9" s="3541">
        <v>51291.07</v>
      </c>
      <c r="BR9" s="3542" t="s">
        <v>3610</v>
      </c>
      <c r="BS9" s="3545"/>
      <c r="BT9" s="3539"/>
      <c r="BU9" s="3540">
        <f t="shared" si="9"/>
        <v>0</v>
      </c>
      <c r="BV9" s="3539"/>
      <c r="BW9" s="3542"/>
      <c r="BX9" s="3546"/>
      <c r="BY9" s="3539"/>
      <c r="BZ9" s="3540">
        <f t="shared" si="10"/>
        <v>0</v>
      </c>
      <c r="CA9" s="3539"/>
      <c r="CB9" s="3539"/>
      <c r="CC9" s="3539"/>
      <c r="CD9" s="3539"/>
      <c r="CE9" s="3540">
        <f t="shared" si="11"/>
        <v>0</v>
      </c>
      <c r="CF9" s="3539"/>
      <c r="CG9" s="3542"/>
      <c r="CH9" s="3547">
        <f t="shared" si="12"/>
        <v>752193</v>
      </c>
    </row>
    <row r="10" spans="1:86" ht="15.75" customHeight="1">
      <c r="A10" s="3522">
        <v>6</v>
      </c>
      <c r="B10" s="3522">
        <v>1</v>
      </c>
      <c r="C10" s="3523">
        <v>1302</v>
      </c>
      <c r="D10" s="3525" t="s">
        <v>3611</v>
      </c>
      <c r="E10" s="3525" t="s">
        <v>3585</v>
      </c>
      <c r="F10" s="3526">
        <v>44453</v>
      </c>
      <c r="G10" s="3548">
        <v>275.75</v>
      </c>
      <c r="H10" s="3527"/>
      <c r="I10" s="3528">
        <v>44357</v>
      </c>
      <c r="J10" s="3533">
        <v>44362</v>
      </c>
      <c r="K10" s="3533">
        <v>44726</v>
      </c>
      <c r="L10" s="3552" t="s">
        <v>3612</v>
      </c>
      <c r="M10" s="3549">
        <v>4.2</v>
      </c>
      <c r="N10" s="3532">
        <v>35227</v>
      </c>
      <c r="O10" s="3533"/>
      <c r="P10" s="3531"/>
      <c r="Q10" s="3532"/>
      <c r="R10" s="3532">
        <v>422724</v>
      </c>
      <c r="S10" s="3550" t="s">
        <v>3593</v>
      </c>
      <c r="T10" s="3550"/>
      <c r="U10" s="3534">
        <f t="shared" si="13"/>
        <v>27795.600000000002</v>
      </c>
      <c r="V10" s="3535">
        <v>105681</v>
      </c>
      <c r="W10" s="3536"/>
      <c r="X10" s="3536"/>
      <c r="Y10" s="3537"/>
      <c r="Z10" s="3538"/>
      <c r="AA10" s="3539"/>
      <c r="AB10" s="3540"/>
      <c r="AC10" s="3541"/>
      <c r="AD10" s="3539"/>
      <c r="AE10" s="3538"/>
      <c r="AF10" s="3539"/>
      <c r="AG10" s="3540"/>
      <c r="AH10" s="3541"/>
      <c r="AI10" s="3539"/>
      <c r="AJ10" s="3538"/>
      <c r="AK10" s="3539"/>
      <c r="AL10" s="3540"/>
      <c r="AM10" s="3541"/>
      <c r="AN10" s="3542"/>
      <c r="AO10" s="3538"/>
      <c r="AP10" s="3539"/>
      <c r="AQ10" s="3540"/>
      <c r="AR10" s="3539"/>
      <c r="AS10" s="3542"/>
      <c r="AT10" s="3538"/>
      <c r="AU10" s="3539"/>
      <c r="AV10" s="3540"/>
      <c r="AW10" s="3539"/>
      <c r="AX10" s="3544"/>
      <c r="AY10" s="3538">
        <v>44362</v>
      </c>
      <c r="AZ10" s="3539">
        <v>105681</v>
      </c>
      <c r="BA10" s="3540">
        <f t="shared" si="5"/>
        <v>96955.05</v>
      </c>
      <c r="BB10" s="3539">
        <v>27795.599999999999</v>
      </c>
      <c r="BC10" s="3542" t="s">
        <v>3613</v>
      </c>
      <c r="BD10" s="3545"/>
      <c r="BE10" s="3539"/>
      <c r="BF10" s="3540">
        <f t="shared" si="6"/>
        <v>0</v>
      </c>
      <c r="BG10" s="3539"/>
      <c r="BH10" s="3542"/>
      <c r="BI10" s="3538"/>
      <c r="BJ10" s="3539"/>
      <c r="BK10" s="3540">
        <f t="shared" si="7"/>
        <v>0</v>
      </c>
      <c r="BL10" s="3539"/>
      <c r="BM10" s="3542"/>
      <c r="BN10" s="3546">
        <v>44456</v>
      </c>
      <c r="BO10" s="3541">
        <v>105681</v>
      </c>
      <c r="BP10" s="3540">
        <f t="shared" si="8"/>
        <v>96955.05</v>
      </c>
      <c r="BQ10" s="3541">
        <v>27795.599999999999</v>
      </c>
      <c r="BR10" s="3542" t="s">
        <v>3614</v>
      </c>
      <c r="BS10" s="3545"/>
      <c r="BT10" s="3539"/>
      <c r="BU10" s="3540">
        <f t="shared" si="9"/>
        <v>0</v>
      </c>
      <c r="BV10" s="3539"/>
      <c r="BW10" s="3542"/>
      <c r="BX10" s="3546"/>
      <c r="BY10" s="3539"/>
      <c r="BZ10" s="3540">
        <f t="shared" si="10"/>
        <v>0</v>
      </c>
      <c r="CA10" s="3539"/>
      <c r="CB10" s="3539"/>
      <c r="CC10" s="3539"/>
      <c r="CD10" s="3539"/>
      <c r="CE10" s="3540">
        <f t="shared" si="11"/>
        <v>0</v>
      </c>
      <c r="CF10" s="3539"/>
      <c r="CG10" s="3542"/>
      <c r="CH10" s="3547">
        <f t="shared" si="12"/>
        <v>211362</v>
      </c>
    </row>
    <row r="11" spans="1:86" ht="15.75" customHeight="1">
      <c r="A11" s="3522">
        <v>7</v>
      </c>
      <c r="B11" s="3553"/>
      <c r="C11" s="3554">
        <v>1303</v>
      </c>
      <c r="D11" s="3555" t="s">
        <v>3615</v>
      </c>
      <c r="E11" s="3555" t="s">
        <v>3585</v>
      </c>
      <c r="F11" s="3556">
        <v>44447</v>
      </c>
      <c r="G11" s="3557" t="s">
        <v>3616</v>
      </c>
      <c r="H11" s="3557">
        <v>212.19</v>
      </c>
      <c r="I11" s="3528">
        <v>43686</v>
      </c>
      <c r="J11" s="3533">
        <v>43717</v>
      </c>
      <c r="K11" s="3533">
        <v>44447</v>
      </c>
      <c r="L11" s="3552" t="s">
        <v>3617</v>
      </c>
      <c r="M11" s="3549">
        <v>4.75</v>
      </c>
      <c r="N11" s="3532">
        <v>30657</v>
      </c>
      <c r="O11" s="3533"/>
      <c r="P11" s="3531"/>
      <c r="Q11" s="3532"/>
      <c r="R11" s="3532">
        <v>674454</v>
      </c>
      <c r="S11" s="3550" t="s">
        <v>3593</v>
      </c>
      <c r="T11" s="3550"/>
      <c r="U11" s="3534"/>
      <c r="V11" s="3535"/>
      <c r="W11" s="3536"/>
      <c r="X11" s="3536">
        <v>183943</v>
      </c>
      <c r="Y11" s="3537">
        <v>275914</v>
      </c>
      <c r="Z11" s="3538"/>
      <c r="AA11" s="3539"/>
      <c r="AB11" s="3540">
        <f t="shared" si="0"/>
        <v>0</v>
      </c>
      <c r="AC11" s="3541"/>
      <c r="AD11" s="3539"/>
      <c r="AE11" s="3538">
        <v>44237</v>
      </c>
      <c r="AF11" s="3539">
        <v>91971</v>
      </c>
      <c r="AG11" s="3540">
        <f t="shared" si="1"/>
        <v>84377.06</v>
      </c>
      <c r="AH11" s="3541">
        <v>21388.74</v>
      </c>
      <c r="AI11" s="3539" t="s">
        <v>3618</v>
      </c>
      <c r="AJ11" s="3538">
        <v>44267</v>
      </c>
      <c r="AK11" s="3539"/>
      <c r="AL11" s="3540">
        <f t="shared" si="2"/>
        <v>0</v>
      </c>
      <c r="AM11" s="3541">
        <v>21388.74</v>
      </c>
      <c r="AN11" s="3542"/>
      <c r="AO11" s="3538"/>
      <c r="AP11" s="3539"/>
      <c r="AQ11" s="3540">
        <f t="shared" si="3"/>
        <v>0</v>
      </c>
      <c r="AR11" s="3539"/>
      <c r="AS11" s="3542"/>
      <c r="AT11" s="3538">
        <v>44324</v>
      </c>
      <c r="AU11" s="3539">
        <v>91971</v>
      </c>
      <c r="AV11" s="3540">
        <f t="shared" si="4"/>
        <v>84377.06</v>
      </c>
      <c r="AW11" s="3539">
        <v>21388.74</v>
      </c>
      <c r="AX11" s="3544" t="s">
        <v>3619</v>
      </c>
      <c r="AY11" s="3538"/>
      <c r="AZ11" s="3539"/>
      <c r="BA11" s="3540">
        <f t="shared" si="5"/>
        <v>0</v>
      </c>
      <c r="BB11" s="3539"/>
      <c r="BC11" s="3542"/>
      <c r="BD11" s="3538"/>
      <c r="BE11" s="3539"/>
      <c r="BF11" s="3540"/>
      <c r="BG11" s="3539"/>
      <c r="BH11" s="3542"/>
      <c r="BI11" s="3538">
        <v>44409</v>
      </c>
      <c r="BJ11" s="3539">
        <v>30657</v>
      </c>
      <c r="BK11" s="3540">
        <f t="shared" si="7"/>
        <v>28125.69</v>
      </c>
      <c r="BL11" s="3539">
        <f>37786.58-BJ11</f>
        <v>7129.5800000000017</v>
      </c>
      <c r="BM11" s="3542" t="s">
        <v>3620</v>
      </c>
      <c r="BN11" s="3546"/>
      <c r="BO11" s="3541"/>
      <c r="BP11" s="3540">
        <f t="shared" si="8"/>
        <v>0</v>
      </c>
      <c r="BQ11" s="3541"/>
      <c r="BR11" s="3542"/>
      <c r="BS11" s="3545"/>
      <c r="BT11" s="3539"/>
      <c r="BU11" s="3540">
        <f t="shared" si="9"/>
        <v>0</v>
      </c>
      <c r="BV11" s="3539"/>
      <c r="BW11" s="3542"/>
      <c r="BX11" s="3546"/>
      <c r="BY11" s="3539"/>
      <c r="BZ11" s="3540">
        <f t="shared" si="10"/>
        <v>0</v>
      </c>
      <c r="CA11" s="3539"/>
      <c r="CB11" s="3539"/>
      <c r="CC11" s="3539"/>
      <c r="CD11" s="3539"/>
      <c r="CE11" s="3540">
        <f t="shared" si="11"/>
        <v>0</v>
      </c>
      <c r="CF11" s="3539"/>
      <c r="CG11" s="3542"/>
      <c r="CH11" s="3547">
        <f t="shared" si="12"/>
        <v>214599</v>
      </c>
    </row>
    <row r="12" spans="1:86" ht="15.75" hidden="1" customHeight="1">
      <c r="A12" s="3522">
        <v>8</v>
      </c>
      <c r="B12" s="3522">
        <v>1</v>
      </c>
      <c r="C12" s="3523">
        <v>1303</v>
      </c>
      <c r="D12" s="3525" t="s">
        <v>3621</v>
      </c>
      <c r="E12" s="3525" t="s">
        <v>3585</v>
      </c>
      <c r="F12" s="3526">
        <v>44569</v>
      </c>
      <c r="G12" s="3548">
        <v>212.19</v>
      </c>
      <c r="H12" s="3527"/>
      <c r="I12" s="3528">
        <v>44438</v>
      </c>
      <c r="J12" s="3533">
        <v>44448</v>
      </c>
      <c r="K12" s="3533">
        <v>45543</v>
      </c>
      <c r="L12" s="3552" t="s">
        <v>3622</v>
      </c>
      <c r="M12" s="3549">
        <v>4.2</v>
      </c>
      <c r="N12" s="3532">
        <v>27107</v>
      </c>
      <c r="O12" s="3533"/>
      <c r="P12" s="3531"/>
      <c r="Q12" s="3532"/>
      <c r="R12" s="3532">
        <v>894534</v>
      </c>
      <c r="S12" s="3550" t="s">
        <v>3593</v>
      </c>
      <c r="T12" s="3550"/>
      <c r="U12" s="3534">
        <f t="shared" si="13"/>
        <v>21388.739999999998</v>
      </c>
      <c r="V12" s="3558">
        <v>81321</v>
      </c>
      <c r="W12" s="3536"/>
      <c r="X12" s="3536"/>
      <c r="Y12" s="3537"/>
      <c r="Z12" s="3538"/>
      <c r="AA12" s="3539"/>
      <c r="AB12" s="3540"/>
      <c r="AC12" s="3541"/>
      <c r="AD12" s="3539"/>
      <c r="AE12" s="3538"/>
      <c r="AF12" s="3539"/>
      <c r="AG12" s="3540"/>
      <c r="AH12" s="3541"/>
      <c r="AI12" s="3539"/>
      <c r="AJ12" s="3538"/>
      <c r="AK12" s="3539"/>
      <c r="AL12" s="3540"/>
      <c r="AM12" s="3541"/>
      <c r="AN12" s="3542"/>
      <c r="AO12" s="3538"/>
      <c r="AP12" s="3539"/>
      <c r="AQ12" s="3540"/>
      <c r="AR12" s="3539"/>
      <c r="AS12" s="3542"/>
      <c r="AT12" s="3538"/>
      <c r="AU12" s="3539"/>
      <c r="AV12" s="3540"/>
      <c r="AW12" s="3539"/>
      <c r="AX12" s="3544"/>
      <c r="AY12" s="3538"/>
      <c r="AZ12" s="3539"/>
      <c r="BA12" s="3540"/>
      <c r="BB12" s="3539"/>
      <c r="BC12" s="3542"/>
      <c r="BD12" s="3538"/>
      <c r="BE12" s="3539"/>
      <c r="BF12" s="3540"/>
      <c r="BG12" s="3539"/>
      <c r="BH12" s="3542"/>
      <c r="BI12" s="3538"/>
      <c r="BJ12" s="3539"/>
      <c r="BK12" s="3540"/>
      <c r="BL12" s="3539"/>
      <c r="BM12" s="3542"/>
      <c r="BN12" s="3546">
        <v>44447</v>
      </c>
      <c r="BO12" s="3541">
        <v>81322</v>
      </c>
      <c r="BP12" s="3540">
        <f t="shared" si="8"/>
        <v>74607.34</v>
      </c>
      <c r="BQ12" s="3541">
        <f>21388.74*2</f>
        <v>42777.48</v>
      </c>
      <c r="BR12" s="3542" t="s">
        <v>3623</v>
      </c>
      <c r="BS12" s="3545"/>
      <c r="BT12" s="3539"/>
      <c r="BU12" s="3540">
        <f t="shared" si="9"/>
        <v>0</v>
      </c>
      <c r="BV12" s="3539"/>
      <c r="BW12" s="3542"/>
      <c r="BX12" s="3546"/>
      <c r="BY12" s="3539"/>
      <c r="BZ12" s="3540">
        <f t="shared" si="10"/>
        <v>0</v>
      </c>
      <c r="CA12" s="3539"/>
      <c r="CB12" s="3539"/>
      <c r="CC12" s="3539"/>
      <c r="CD12" s="3539"/>
      <c r="CE12" s="3540">
        <f t="shared" si="11"/>
        <v>0</v>
      </c>
      <c r="CF12" s="3539"/>
      <c r="CG12" s="3542"/>
      <c r="CH12" s="3547">
        <f t="shared" si="12"/>
        <v>81322</v>
      </c>
    </row>
    <row r="13" spans="1:86" ht="15.75" customHeight="1">
      <c r="A13" s="3522">
        <v>9</v>
      </c>
      <c r="B13" s="3522">
        <v>1</v>
      </c>
      <c r="C13" s="3523">
        <v>1305</v>
      </c>
      <c r="D13" s="3525" t="s">
        <v>3624</v>
      </c>
      <c r="E13" s="3525" t="s">
        <v>3585</v>
      </c>
      <c r="F13" s="3526">
        <v>44519</v>
      </c>
      <c r="G13" s="3548">
        <v>244.49</v>
      </c>
      <c r="H13" s="3527"/>
      <c r="I13" s="3528">
        <v>44292</v>
      </c>
      <c r="J13" s="3533">
        <v>44336</v>
      </c>
      <c r="K13" s="3533">
        <v>44700</v>
      </c>
      <c r="L13" s="3552" t="s">
        <v>3612</v>
      </c>
      <c r="M13" s="3549">
        <v>4.2</v>
      </c>
      <c r="N13" s="3532">
        <v>31234</v>
      </c>
      <c r="O13" s="3533"/>
      <c r="P13" s="3531"/>
      <c r="Q13" s="3532"/>
      <c r="R13" s="3532">
        <v>374808</v>
      </c>
      <c r="S13" s="3550" t="s">
        <v>3593</v>
      </c>
      <c r="T13" s="3550"/>
      <c r="U13" s="3534">
        <f t="shared" si="13"/>
        <v>24644.58</v>
      </c>
      <c r="V13" s="3535">
        <v>93702</v>
      </c>
      <c r="W13" s="3536">
        <v>200786.42</v>
      </c>
      <c r="X13" s="3536">
        <v>401574.84</v>
      </c>
      <c r="Y13" s="3537">
        <v>401574.84</v>
      </c>
      <c r="Z13" s="3538"/>
      <c r="AA13" s="3539"/>
      <c r="AB13" s="3540">
        <f t="shared" si="0"/>
        <v>0</v>
      </c>
      <c r="AC13" s="3541"/>
      <c r="AD13" s="3539"/>
      <c r="AE13" s="3538">
        <v>44246</v>
      </c>
      <c r="AF13" s="3539">
        <v>100393.71</v>
      </c>
      <c r="AG13" s="3540">
        <f t="shared" si="1"/>
        <v>92104.320000000007</v>
      </c>
      <c r="AH13" s="3541">
        <v>24644.58</v>
      </c>
      <c r="AI13" s="3539" t="s">
        <v>3594</v>
      </c>
      <c r="AJ13" s="3538"/>
      <c r="AK13" s="3539"/>
      <c r="AL13" s="3540">
        <f t="shared" si="2"/>
        <v>0</v>
      </c>
      <c r="AM13" s="3541"/>
      <c r="AN13" s="3542"/>
      <c r="AO13" s="3538"/>
      <c r="AP13" s="3540"/>
      <c r="AQ13" s="3540">
        <f t="shared" si="3"/>
        <v>0</v>
      </c>
      <c r="AR13" s="3540"/>
      <c r="AS13" s="3542"/>
      <c r="AT13" s="3538">
        <v>44329</v>
      </c>
      <c r="AU13" s="3539">
        <v>93702</v>
      </c>
      <c r="AV13" s="3540">
        <f t="shared" si="4"/>
        <v>85965.14</v>
      </c>
      <c r="AW13" s="3539">
        <v>24644.58</v>
      </c>
      <c r="AX13" s="3544" t="s">
        <v>3595</v>
      </c>
      <c r="AY13" s="3538"/>
      <c r="AZ13" s="3539"/>
      <c r="BA13" s="3540">
        <f t="shared" si="5"/>
        <v>0</v>
      </c>
      <c r="BB13" s="3539"/>
      <c r="BC13" s="3542"/>
      <c r="BD13" s="3538"/>
      <c r="BE13" s="3539"/>
      <c r="BF13" s="3540">
        <f t="shared" si="6"/>
        <v>0</v>
      </c>
      <c r="BG13" s="3539"/>
      <c r="BH13" s="3542"/>
      <c r="BI13" s="3538">
        <v>44427</v>
      </c>
      <c r="BJ13" s="3539">
        <v>93702</v>
      </c>
      <c r="BK13" s="3540">
        <f t="shared" si="7"/>
        <v>85965.14</v>
      </c>
      <c r="BL13" s="3539"/>
      <c r="BM13" s="3542" t="s">
        <v>3596</v>
      </c>
      <c r="BN13" s="3546"/>
      <c r="BO13" s="3541"/>
      <c r="BP13" s="3540">
        <f t="shared" si="8"/>
        <v>0</v>
      </c>
      <c r="BQ13" s="3541"/>
      <c r="BR13" s="3542"/>
      <c r="BS13" s="3545"/>
      <c r="BT13" s="3539"/>
      <c r="BU13" s="3540">
        <f t="shared" si="9"/>
        <v>0</v>
      </c>
      <c r="BV13" s="3539"/>
      <c r="BW13" s="3542"/>
      <c r="BX13" s="3546"/>
      <c r="BY13" s="3539"/>
      <c r="BZ13" s="3540">
        <f t="shared" si="10"/>
        <v>0</v>
      </c>
      <c r="CA13" s="3539"/>
      <c r="CB13" s="3539"/>
      <c r="CC13" s="3539"/>
      <c r="CD13" s="3539"/>
      <c r="CE13" s="3540">
        <f t="shared" si="11"/>
        <v>0</v>
      </c>
      <c r="CF13" s="3539"/>
      <c r="CG13" s="3542"/>
      <c r="CH13" s="3547">
        <f t="shared" si="12"/>
        <v>287797.71000000002</v>
      </c>
    </row>
    <row r="14" spans="1:86" ht="15.75" customHeight="1">
      <c r="A14" s="3522">
        <v>10</v>
      </c>
      <c r="B14" s="3522">
        <v>1</v>
      </c>
      <c r="C14" s="3523">
        <v>1306</v>
      </c>
      <c r="D14" s="3525" t="s">
        <v>3625</v>
      </c>
      <c r="E14" s="3525" t="s">
        <v>3585</v>
      </c>
      <c r="F14" s="3526">
        <v>44505</v>
      </c>
      <c r="G14" s="3548">
        <v>321.55</v>
      </c>
      <c r="H14" s="3527"/>
      <c r="I14" s="3528">
        <v>44378</v>
      </c>
      <c r="J14" s="3533">
        <v>44383</v>
      </c>
      <c r="K14" s="3533">
        <v>45174</v>
      </c>
      <c r="L14" s="3552" t="s">
        <v>3626</v>
      </c>
      <c r="M14" s="3549">
        <v>4.7</v>
      </c>
      <c r="N14" s="3532">
        <v>45968</v>
      </c>
      <c r="O14" s="3533"/>
      <c r="P14" s="3531"/>
      <c r="Q14" s="3532"/>
      <c r="R14" s="3532">
        <v>1149201</v>
      </c>
      <c r="S14" s="3550" t="s">
        <v>3593</v>
      </c>
      <c r="T14" s="3550"/>
      <c r="U14" s="3534">
        <f t="shared" si="13"/>
        <v>32412.239999999998</v>
      </c>
      <c r="V14" s="3535">
        <v>137904</v>
      </c>
      <c r="W14" s="3536"/>
      <c r="X14" s="3536"/>
      <c r="Y14" s="3537"/>
      <c r="Z14" s="3538"/>
      <c r="AA14" s="3539"/>
      <c r="AB14" s="3540"/>
      <c r="AC14" s="3541"/>
      <c r="AD14" s="3539"/>
      <c r="AE14" s="3538"/>
      <c r="AF14" s="3539"/>
      <c r="AG14" s="3540"/>
      <c r="AH14" s="3541"/>
      <c r="AI14" s="3539"/>
      <c r="AJ14" s="3538"/>
      <c r="AK14" s="3539"/>
      <c r="AL14" s="3540"/>
      <c r="AM14" s="3541"/>
      <c r="AN14" s="3542"/>
      <c r="AO14" s="3538"/>
      <c r="AP14" s="3540"/>
      <c r="AQ14" s="3540"/>
      <c r="AR14" s="3540"/>
      <c r="AS14" s="3542"/>
      <c r="AT14" s="3538"/>
      <c r="AU14" s="3539"/>
      <c r="AV14" s="3540"/>
      <c r="AW14" s="3539"/>
      <c r="AX14" s="3544"/>
      <c r="AY14" s="3538"/>
      <c r="AZ14" s="3539"/>
      <c r="BA14" s="3540"/>
      <c r="BB14" s="3539"/>
      <c r="BC14" s="3542"/>
      <c r="BD14" s="3538">
        <v>44378</v>
      </c>
      <c r="BE14" s="3539">
        <v>137905</v>
      </c>
      <c r="BF14" s="3540">
        <f t="shared" si="6"/>
        <v>126518.35</v>
      </c>
      <c r="BG14" s="3539">
        <f>15299.42+17112.82+32412.24</f>
        <v>64824.479999999996</v>
      </c>
      <c r="BH14" s="3542" t="s">
        <v>3627</v>
      </c>
      <c r="BI14" s="3538"/>
      <c r="BJ14" s="3539"/>
      <c r="BK14" s="3540"/>
      <c r="BL14" s="3539"/>
      <c r="BM14" s="3542"/>
      <c r="BN14" s="3546"/>
      <c r="BO14" s="3541"/>
      <c r="BP14" s="3540">
        <f t="shared" si="8"/>
        <v>0</v>
      </c>
      <c r="BQ14" s="3541"/>
      <c r="BR14" s="3542"/>
      <c r="BS14" s="3545"/>
      <c r="BT14" s="3539"/>
      <c r="BU14" s="3540">
        <f t="shared" si="9"/>
        <v>0</v>
      </c>
      <c r="BV14" s="3539"/>
      <c r="BW14" s="3542"/>
      <c r="BX14" s="3546"/>
      <c r="BY14" s="3539"/>
      <c r="BZ14" s="3540">
        <f t="shared" si="10"/>
        <v>0</v>
      </c>
      <c r="CA14" s="3539"/>
      <c r="CB14" s="3539"/>
      <c r="CC14" s="3539"/>
      <c r="CD14" s="3539"/>
      <c r="CE14" s="3540">
        <f t="shared" si="11"/>
        <v>0</v>
      </c>
      <c r="CF14" s="3539"/>
      <c r="CG14" s="3542"/>
      <c r="CH14" s="3547">
        <f t="shared" si="12"/>
        <v>137905</v>
      </c>
    </row>
    <row r="15" spans="1:86" ht="15.75" customHeight="1">
      <c r="A15" s="3522">
        <v>11</v>
      </c>
      <c r="B15" s="3522">
        <v>1</v>
      </c>
      <c r="C15" s="3523">
        <v>1307</v>
      </c>
      <c r="D15" s="3525" t="s">
        <v>3628</v>
      </c>
      <c r="E15" s="3525" t="s">
        <v>3585</v>
      </c>
      <c r="F15" s="3526">
        <v>44511</v>
      </c>
      <c r="G15" s="3548">
        <v>231.56</v>
      </c>
      <c r="H15" s="3527"/>
      <c r="I15" s="3528">
        <v>43811</v>
      </c>
      <c r="J15" s="3533">
        <v>43811</v>
      </c>
      <c r="K15" s="3533">
        <v>44906</v>
      </c>
      <c r="L15" s="3552" t="s">
        <v>3629</v>
      </c>
      <c r="M15" s="3549">
        <v>4</v>
      </c>
      <c r="N15" s="3532">
        <v>28173</v>
      </c>
      <c r="O15" s="3533"/>
      <c r="P15" s="3531"/>
      <c r="Q15" s="3532"/>
      <c r="R15" s="3532">
        <v>957884</v>
      </c>
      <c r="S15" s="3550" t="s">
        <v>3593</v>
      </c>
      <c r="T15" s="3550"/>
      <c r="U15" s="3534">
        <f t="shared" si="13"/>
        <v>23341.260000000002</v>
      </c>
      <c r="V15" s="3535">
        <v>84519</v>
      </c>
      <c r="W15" s="3536"/>
      <c r="X15" s="3536">
        <v>84520</v>
      </c>
      <c r="Y15" s="3537">
        <v>253558</v>
      </c>
      <c r="Z15" s="3538">
        <v>44224</v>
      </c>
      <c r="AA15" s="3539">
        <v>84519</v>
      </c>
      <c r="AB15" s="3540">
        <f t="shared" si="0"/>
        <v>77540.37</v>
      </c>
      <c r="AC15" s="3541"/>
      <c r="AD15" s="3539" t="s">
        <v>3630</v>
      </c>
      <c r="AE15" s="3538"/>
      <c r="AF15" s="3539"/>
      <c r="AG15" s="3540">
        <f t="shared" si="1"/>
        <v>0</v>
      </c>
      <c r="AH15" s="3541"/>
      <c r="AI15" s="3539"/>
      <c r="AJ15" s="3538">
        <v>44260</v>
      </c>
      <c r="AK15" s="3539"/>
      <c r="AL15" s="3540">
        <f t="shared" si="2"/>
        <v>0</v>
      </c>
      <c r="AM15" s="3541">
        <v>23341.25</v>
      </c>
      <c r="AN15" s="3542"/>
      <c r="AO15" s="3538">
        <v>44301</v>
      </c>
      <c r="AP15" s="3540">
        <v>84519</v>
      </c>
      <c r="AQ15" s="3540">
        <f t="shared" si="3"/>
        <v>77540.37</v>
      </c>
      <c r="AR15" s="3540"/>
      <c r="AS15" s="3542" t="s">
        <v>3631</v>
      </c>
      <c r="AT15" s="3538">
        <v>44343</v>
      </c>
      <c r="AU15" s="3539"/>
      <c r="AV15" s="3540">
        <f t="shared" si="4"/>
        <v>0</v>
      </c>
      <c r="AW15" s="3539">
        <v>23341.25</v>
      </c>
      <c r="AX15" s="3544"/>
      <c r="AY15" s="3538"/>
      <c r="AZ15" s="3539"/>
      <c r="BA15" s="3540">
        <f t="shared" si="5"/>
        <v>0</v>
      </c>
      <c r="BB15" s="3539"/>
      <c r="BC15" s="3542"/>
      <c r="BD15" s="3538"/>
      <c r="BE15" s="3539"/>
      <c r="BF15" s="3540">
        <f t="shared" si="6"/>
        <v>0</v>
      </c>
      <c r="BG15" s="3539"/>
      <c r="BH15" s="3542"/>
      <c r="BI15" s="3538">
        <v>44409</v>
      </c>
      <c r="BJ15" s="3539">
        <v>84519</v>
      </c>
      <c r="BK15" s="3540">
        <f t="shared" si="7"/>
        <v>77540.37</v>
      </c>
      <c r="BL15" s="3539">
        <v>23341.25</v>
      </c>
      <c r="BM15" s="3542" t="s">
        <v>3632</v>
      </c>
      <c r="BN15" s="3546"/>
      <c r="BO15" s="3541"/>
      <c r="BP15" s="3540">
        <f t="shared" si="8"/>
        <v>0</v>
      </c>
      <c r="BQ15" s="3541"/>
      <c r="BR15" s="3542"/>
      <c r="BS15" s="3545"/>
      <c r="BT15" s="3539"/>
      <c r="BU15" s="3540">
        <f t="shared" si="9"/>
        <v>0</v>
      </c>
      <c r="BV15" s="3539"/>
      <c r="BW15" s="3542"/>
      <c r="BX15" s="3546"/>
      <c r="BY15" s="3539"/>
      <c r="BZ15" s="3540">
        <f t="shared" si="10"/>
        <v>0</v>
      </c>
      <c r="CA15" s="3539"/>
      <c r="CB15" s="3539"/>
      <c r="CC15" s="3539"/>
      <c r="CD15" s="3539"/>
      <c r="CE15" s="3540">
        <f t="shared" si="11"/>
        <v>0</v>
      </c>
      <c r="CF15" s="3539"/>
      <c r="CG15" s="3542"/>
      <c r="CH15" s="3547">
        <f t="shared" si="12"/>
        <v>253557</v>
      </c>
    </row>
    <row r="16" spans="1:86" ht="15.75" customHeight="1">
      <c r="A16" s="3522">
        <v>12</v>
      </c>
      <c r="B16" s="3522">
        <v>1</v>
      </c>
      <c r="C16" s="3523">
        <v>1308</v>
      </c>
      <c r="D16" s="3525" t="s">
        <v>3633</v>
      </c>
      <c r="E16" s="3525" t="s">
        <v>3585</v>
      </c>
      <c r="F16" s="3526">
        <v>44469</v>
      </c>
      <c r="G16" s="3548">
        <v>159.5</v>
      </c>
      <c r="H16" s="3527"/>
      <c r="I16" s="3528">
        <v>44189</v>
      </c>
      <c r="J16" s="3533">
        <v>44197</v>
      </c>
      <c r="K16" s="3533">
        <v>45291</v>
      </c>
      <c r="L16" s="3552" t="s">
        <v>3612</v>
      </c>
      <c r="M16" s="3549">
        <v>4.7</v>
      </c>
      <c r="N16" s="3532">
        <v>22802</v>
      </c>
      <c r="O16" s="3533"/>
      <c r="P16" s="3531"/>
      <c r="Q16" s="3532"/>
      <c r="R16" s="3532">
        <v>621471.9</v>
      </c>
      <c r="S16" s="3550" t="s">
        <v>3593</v>
      </c>
      <c r="T16" s="3550"/>
      <c r="U16" s="3534">
        <f t="shared" si="13"/>
        <v>16077.599999999999</v>
      </c>
      <c r="V16" s="3535">
        <v>68406</v>
      </c>
      <c r="W16" s="3536">
        <v>181748.66</v>
      </c>
      <c r="X16" s="3536">
        <v>266345.09999999998</v>
      </c>
      <c r="Y16" s="3537">
        <v>266345.09999999998</v>
      </c>
      <c r="Z16" s="3538">
        <v>44200</v>
      </c>
      <c r="AA16" s="3539">
        <v>68406</v>
      </c>
      <c r="AB16" s="3540">
        <f t="shared" si="0"/>
        <v>62757.8</v>
      </c>
      <c r="AC16" s="3541">
        <v>32155.200000000001</v>
      </c>
      <c r="AD16" s="3539" t="s">
        <v>3634</v>
      </c>
      <c r="AE16" s="3538"/>
      <c r="AF16" s="3539"/>
      <c r="AG16" s="3540">
        <f t="shared" si="1"/>
        <v>0</v>
      </c>
      <c r="AH16" s="3541"/>
      <c r="AI16" s="3539"/>
      <c r="AJ16" s="3538">
        <v>44279</v>
      </c>
      <c r="AK16" s="3539">
        <v>68406</v>
      </c>
      <c r="AL16" s="3540">
        <f t="shared" si="2"/>
        <v>62757.8</v>
      </c>
      <c r="AM16" s="3541">
        <f>16077.6+569.72</f>
        <v>16647.32</v>
      </c>
      <c r="AN16" s="3542" t="s">
        <v>3635</v>
      </c>
      <c r="AO16" s="3538"/>
      <c r="AP16" s="3540"/>
      <c r="AQ16" s="3540">
        <f t="shared" si="3"/>
        <v>0</v>
      </c>
      <c r="AR16" s="3540"/>
      <c r="AS16" s="3542"/>
      <c r="AT16" s="3538"/>
      <c r="AU16" s="3539"/>
      <c r="AV16" s="3540">
        <f t="shared" si="4"/>
        <v>0</v>
      </c>
      <c r="AW16" s="3539"/>
      <c r="AX16" s="3544"/>
      <c r="AY16" s="3538">
        <v>44375</v>
      </c>
      <c r="AZ16" s="3539">
        <v>68406</v>
      </c>
      <c r="BA16" s="3540">
        <f t="shared" si="5"/>
        <v>62757.8</v>
      </c>
      <c r="BB16" s="3539">
        <v>16077.6</v>
      </c>
      <c r="BC16" s="3542" t="s">
        <v>3636</v>
      </c>
      <c r="BD16" s="3538"/>
      <c r="BE16" s="3539"/>
      <c r="BF16" s="3540">
        <f t="shared" si="6"/>
        <v>0</v>
      </c>
      <c r="BG16" s="3539"/>
      <c r="BH16" s="3542"/>
      <c r="BI16" s="3538"/>
      <c r="BJ16" s="3539"/>
      <c r="BK16" s="3540">
        <f t="shared" si="7"/>
        <v>0</v>
      </c>
      <c r="BL16" s="3539"/>
      <c r="BM16" s="3542"/>
      <c r="BN16" s="3546"/>
      <c r="BO16" s="3541"/>
      <c r="BP16" s="3540">
        <f t="shared" si="8"/>
        <v>0</v>
      </c>
      <c r="BQ16" s="3541"/>
      <c r="BR16" s="3542"/>
      <c r="BS16" s="3545"/>
      <c r="BT16" s="3539"/>
      <c r="BU16" s="3540">
        <f t="shared" si="9"/>
        <v>0</v>
      </c>
      <c r="BV16" s="3539"/>
      <c r="BW16" s="3542"/>
      <c r="BX16" s="3546"/>
      <c r="BY16" s="3539"/>
      <c r="BZ16" s="3540">
        <f t="shared" si="10"/>
        <v>0</v>
      </c>
      <c r="CA16" s="3539"/>
      <c r="CB16" s="3539"/>
      <c r="CC16" s="3539"/>
      <c r="CD16" s="3539"/>
      <c r="CE16" s="3540">
        <f t="shared" si="11"/>
        <v>0</v>
      </c>
      <c r="CF16" s="3539"/>
      <c r="CG16" s="3542"/>
      <c r="CH16" s="3547">
        <f t="shared" si="12"/>
        <v>205218</v>
      </c>
    </row>
    <row r="17" spans="1:86" ht="15.75" hidden="1" customHeight="1">
      <c r="A17" s="3522">
        <v>13</v>
      </c>
      <c r="B17" s="3522">
        <v>1</v>
      </c>
      <c r="C17" s="3523">
        <v>1401</v>
      </c>
      <c r="D17" s="3525" t="s">
        <v>3637</v>
      </c>
      <c r="E17" s="3525" t="s">
        <v>3638</v>
      </c>
      <c r="F17" s="3526">
        <v>44582</v>
      </c>
      <c r="G17" s="3548">
        <v>392.65</v>
      </c>
      <c r="H17" s="3527"/>
      <c r="I17" s="3528">
        <v>44447</v>
      </c>
      <c r="J17" s="3533">
        <v>44461</v>
      </c>
      <c r="K17" s="3533">
        <v>45190</v>
      </c>
      <c r="L17" s="3552" t="s">
        <v>3639</v>
      </c>
      <c r="M17" s="3549">
        <v>4</v>
      </c>
      <c r="N17" s="3532">
        <v>47772</v>
      </c>
      <c r="O17" s="3533"/>
      <c r="P17" s="3531"/>
      <c r="Q17" s="3532"/>
      <c r="R17" s="3532">
        <v>1050986</v>
      </c>
      <c r="S17" s="3550" t="s">
        <v>3593</v>
      </c>
      <c r="T17" s="3550"/>
      <c r="U17" s="3534">
        <f t="shared" si="13"/>
        <v>39579.120000000003</v>
      </c>
      <c r="V17" s="3558">
        <v>143316</v>
      </c>
      <c r="W17" s="3536"/>
      <c r="X17" s="3536"/>
      <c r="Y17" s="3537"/>
      <c r="Z17" s="3538"/>
      <c r="AA17" s="3539"/>
      <c r="AB17" s="3540"/>
      <c r="AC17" s="3541"/>
      <c r="AD17" s="3539"/>
      <c r="AE17" s="3538"/>
      <c r="AF17" s="3539"/>
      <c r="AG17" s="3540"/>
      <c r="AH17" s="3541"/>
      <c r="AI17" s="3539"/>
      <c r="AJ17" s="3538"/>
      <c r="AK17" s="3539"/>
      <c r="AL17" s="3540"/>
      <c r="AM17" s="3541"/>
      <c r="AN17" s="3542"/>
      <c r="AO17" s="3538"/>
      <c r="AP17" s="3540"/>
      <c r="AQ17" s="3540"/>
      <c r="AR17" s="3540"/>
      <c r="AS17" s="3542"/>
      <c r="AT17" s="3538"/>
      <c r="AU17" s="3539"/>
      <c r="AV17" s="3540"/>
      <c r="AW17" s="3539"/>
      <c r="AX17" s="3544"/>
      <c r="AY17" s="3538"/>
      <c r="AZ17" s="3539"/>
      <c r="BA17" s="3540"/>
      <c r="BB17" s="3539"/>
      <c r="BC17" s="3542"/>
      <c r="BD17" s="3538"/>
      <c r="BE17" s="3539"/>
      <c r="BF17" s="3540"/>
      <c r="BG17" s="3539"/>
      <c r="BH17" s="3542"/>
      <c r="BI17" s="3538"/>
      <c r="BJ17" s="3539"/>
      <c r="BK17" s="3540"/>
      <c r="BL17" s="3539"/>
      <c r="BM17" s="3542"/>
      <c r="BN17" s="3546">
        <v>44452</v>
      </c>
      <c r="BO17" s="3541">
        <v>143317</v>
      </c>
      <c r="BP17" s="3540">
        <f t="shared" si="8"/>
        <v>131483.49</v>
      </c>
      <c r="BQ17" s="3541">
        <f>2*39579.12</f>
        <v>79158.240000000005</v>
      </c>
      <c r="BR17" s="3542" t="s">
        <v>3640</v>
      </c>
      <c r="BS17" s="3545"/>
      <c r="BT17" s="3539"/>
      <c r="BU17" s="3540">
        <f t="shared" si="9"/>
        <v>0</v>
      </c>
      <c r="BV17" s="3539"/>
      <c r="BW17" s="3542"/>
      <c r="BX17" s="3546"/>
      <c r="BY17" s="3539"/>
      <c r="BZ17" s="3540">
        <f t="shared" si="10"/>
        <v>0</v>
      </c>
      <c r="CA17" s="3539"/>
      <c r="CB17" s="3539"/>
      <c r="CC17" s="3539"/>
      <c r="CD17" s="3539"/>
      <c r="CE17" s="3540">
        <f t="shared" si="11"/>
        <v>0</v>
      </c>
      <c r="CF17" s="3539"/>
      <c r="CG17" s="3542"/>
      <c r="CH17" s="3547">
        <f t="shared" si="12"/>
        <v>143317</v>
      </c>
    </row>
    <row r="18" spans="1:86" ht="15.75" customHeight="1">
      <c r="A18" s="3522">
        <v>14</v>
      </c>
      <c r="B18" s="3522">
        <v>1</v>
      </c>
      <c r="C18" s="3523">
        <v>1402</v>
      </c>
      <c r="D18" s="3525" t="s">
        <v>3641</v>
      </c>
      <c r="E18" s="3525" t="s">
        <v>3642</v>
      </c>
      <c r="F18" s="3526">
        <v>44503</v>
      </c>
      <c r="G18" s="3548">
        <v>275.75</v>
      </c>
      <c r="H18" s="3527"/>
      <c r="I18" s="3528">
        <v>44187</v>
      </c>
      <c r="J18" s="3533">
        <v>44200</v>
      </c>
      <c r="K18" s="3533">
        <v>45294</v>
      </c>
      <c r="L18" s="3552" t="s">
        <v>3643</v>
      </c>
      <c r="M18" s="3549">
        <v>3.7</v>
      </c>
      <c r="N18" s="3532">
        <v>31033</v>
      </c>
      <c r="O18" s="3533"/>
      <c r="P18" s="3531"/>
      <c r="Q18" s="3532"/>
      <c r="R18" s="3532">
        <v>1024092</v>
      </c>
      <c r="S18" s="3550" t="s">
        <v>3593</v>
      </c>
      <c r="T18" s="3550"/>
      <c r="U18" s="3534">
        <f t="shared" si="13"/>
        <v>27795.600000000002</v>
      </c>
      <c r="V18" s="3535">
        <v>93099</v>
      </c>
      <c r="W18" s="3536"/>
      <c r="X18" s="3536"/>
      <c r="Y18" s="3537">
        <v>93100</v>
      </c>
      <c r="Z18" s="3538"/>
      <c r="AA18" s="3539"/>
      <c r="AB18" s="3540">
        <f t="shared" si="0"/>
        <v>0</v>
      </c>
      <c r="AC18" s="3541"/>
      <c r="AD18" s="3539"/>
      <c r="AE18" s="3538"/>
      <c r="AF18" s="3539"/>
      <c r="AG18" s="3540">
        <f t="shared" si="1"/>
        <v>0</v>
      </c>
      <c r="AH18" s="3541"/>
      <c r="AI18" s="3539"/>
      <c r="AJ18" s="3538">
        <v>44284</v>
      </c>
      <c r="AK18" s="3539"/>
      <c r="AL18" s="3540">
        <f t="shared" si="2"/>
        <v>0</v>
      </c>
      <c r="AM18" s="3541">
        <v>27795.599999999999</v>
      </c>
      <c r="AN18" s="3542"/>
      <c r="AO18" s="3538">
        <v>44316</v>
      </c>
      <c r="AP18" s="3540">
        <v>93099</v>
      </c>
      <c r="AQ18" s="3540">
        <f t="shared" si="3"/>
        <v>85411.93</v>
      </c>
      <c r="AR18" s="3540"/>
      <c r="AS18" s="3542" t="s">
        <v>3644</v>
      </c>
      <c r="AT18" s="3538"/>
      <c r="AU18" s="3539"/>
      <c r="AV18" s="3540">
        <f t="shared" si="4"/>
        <v>0</v>
      </c>
      <c r="AW18" s="3539"/>
      <c r="AX18" s="3544"/>
      <c r="AY18" s="3538">
        <v>44377</v>
      </c>
      <c r="AZ18" s="3539"/>
      <c r="BA18" s="3540">
        <f t="shared" si="5"/>
        <v>0</v>
      </c>
      <c r="BB18" s="3539">
        <v>27795.599999999999</v>
      </c>
      <c r="BC18" s="3542"/>
      <c r="BD18" s="3538"/>
      <c r="BE18" s="3539"/>
      <c r="BF18" s="3540">
        <f t="shared" si="6"/>
        <v>0</v>
      </c>
      <c r="BG18" s="3539"/>
      <c r="BH18" s="3542"/>
      <c r="BI18" s="3538">
        <v>44411</v>
      </c>
      <c r="BJ18" s="3539">
        <v>93099</v>
      </c>
      <c r="BK18" s="3540">
        <f t="shared" si="7"/>
        <v>85411.93</v>
      </c>
      <c r="BL18" s="3539"/>
      <c r="BM18" s="3542" t="s">
        <v>3645</v>
      </c>
      <c r="BN18" s="3546"/>
      <c r="BO18" s="3541"/>
      <c r="BP18" s="3540">
        <f t="shared" si="8"/>
        <v>0</v>
      </c>
      <c r="BQ18" s="3541"/>
      <c r="BR18" s="3542"/>
      <c r="BS18" s="3545"/>
      <c r="BT18" s="3539"/>
      <c r="BU18" s="3540">
        <f t="shared" si="9"/>
        <v>0</v>
      </c>
      <c r="BV18" s="3539"/>
      <c r="BW18" s="3542"/>
      <c r="BX18" s="3546"/>
      <c r="BY18" s="3539"/>
      <c r="BZ18" s="3540">
        <f t="shared" si="10"/>
        <v>0</v>
      </c>
      <c r="CA18" s="3539"/>
      <c r="CB18" s="3539"/>
      <c r="CC18" s="3539"/>
      <c r="CD18" s="3539"/>
      <c r="CE18" s="3540">
        <f t="shared" si="11"/>
        <v>0</v>
      </c>
      <c r="CF18" s="3539"/>
      <c r="CG18" s="3542"/>
      <c r="CH18" s="3547">
        <f t="shared" si="12"/>
        <v>186198</v>
      </c>
    </row>
    <row r="19" spans="1:86" ht="15.75" customHeight="1">
      <c r="A19" s="3522">
        <v>15</v>
      </c>
      <c r="B19" s="3522">
        <v>1</v>
      </c>
      <c r="C19" s="3523">
        <v>1403</v>
      </c>
      <c r="D19" s="3525" t="s">
        <v>3646</v>
      </c>
      <c r="E19" s="3525" t="s">
        <v>3585</v>
      </c>
      <c r="F19" s="3526">
        <v>44508</v>
      </c>
      <c r="G19" s="3548">
        <v>212.19</v>
      </c>
      <c r="H19" s="3527"/>
      <c r="I19" s="3528">
        <v>43663</v>
      </c>
      <c r="J19" s="3533">
        <v>43686</v>
      </c>
      <c r="K19" s="3533">
        <v>44781</v>
      </c>
      <c r="L19" s="3552" t="s">
        <v>3647</v>
      </c>
      <c r="M19" s="3549">
        <v>4.2</v>
      </c>
      <c r="N19" s="3532">
        <v>27107.27</v>
      </c>
      <c r="O19" s="3533"/>
      <c r="P19" s="3531"/>
      <c r="Q19" s="3532"/>
      <c r="R19" s="3532">
        <v>894542.90999999992</v>
      </c>
      <c r="S19" s="3550" t="s">
        <v>3593</v>
      </c>
      <c r="T19" s="3550"/>
      <c r="U19" s="3534">
        <f t="shared" si="13"/>
        <v>21388.739999999998</v>
      </c>
      <c r="V19" s="3535">
        <v>81321.81</v>
      </c>
      <c r="W19" s="3536"/>
      <c r="X19" s="3536">
        <v>81324.81</v>
      </c>
      <c r="Y19" s="3537">
        <v>325290.23999999999</v>
      </c>
      <c r="Z19" s="3538">
        <v>44223</v>
      </c>
      <c r="AA19" s="3539">
        <v>81321.81</v>
      </c>
      <c r="AB19" s="3540">
        <f t="shared" si="0"/>
        <v>74607.17</v>
      </c>
      <c r="AC19" s="3541">
        <v>21388.75</v>
      </c>
      <c r="AD19" s="3539" t="s">
        <v>3618</v>
      </c>
      <c r="AE19" s="3538"/>
      <c r="AF19" s="3539"/>
      <c r="AG19" s="3540">
        <f t="shared" si="1"/>
        <v>0</v>
      </c>
      <c r="AH19" s="3541"/>
      <c r="AI19" s="3539"/>
      <c r="AJ19" s="3538"/>
      <c r="AK19" s="3539"/>
      <c r="AL19" s="3540">
        <f t="shared" si="2"/>
        <v>0</v>
      </c>
      <c r="AM19" s="3541"/>
      <c r="AN19" s="3542"/>
      <c r="AO19" s="3538"/>
      <c r="AP19" s="3540"/>
      <c r="AQ19" s="3540">
        <f t="shared" si="3"/>
        <v>0</v>
      </c>
      <c r="AR19" s="3540"/>
      <c r="AS19" s="3542"/>
      <c r="AT19" s="3538">
        <v>44323</v>
      </c>
      <c r="AU19" s="3539">
        <v>81321.81</v>
      </c>
      <c r="AV19" s="3540">
        <f t="shared" si="4"/>
        <v>74607.17</v>
      </c>
      <c r="AW19" s="3539">
        <v>21388.75</v>
      </c>
      <c r="AX19" s="3544" t="s">
        <v>3619</v>
      </c>
      <c r="AY19" s="3538"/>
      <c r="AZ19" s="3539"/>
      <c r="BA19" s="3540">
        <f t="shared" si="5"/>
        <v>0</v>
      </c>
      <c r="BB19" s="3539"/>
      <c r="BC19" s="3542"/>
      <c r="BD19" s="3538"/>
      <c r="BE19" s="3539"/>
      <c r="BF19" s="3540">
        <f t="shared" si="6"/>
        <v>0</v>
      </c>
      <c r="BG19" s="3539"/>
      <c r="BH19" s="3542"/>
      <c r="BI19" s="3538">
        <v>44413</v>
      </c>
      <c r="BJ19" s="3539">
        <v>81321.81</v>
      </c>
      <c r="BK19" s="3540">
        <f t="shared" si="7"/>
        <v>74607.17</v>
      </c>
      <c r="BL19" s="3539">
        <v>21388.75</v>
      </c>
      <c r="BM19" s="3542" t="s">
        <v>3648</v>
      </c>
      <c r="BN19" s="3546"/>
      <c r="BO19" s="3541"/>
      <c r="BP19" s="3540">
        <f t="shared" si="8"/>
        <v>0</v>
      </c>
      <c r="BQ19" s="3541"/>
      <c r="BR19" s="3542"/>
      <c r="BS19" s="3545"/>
      <c r="BT19" s="3539"/>
      <c r="BU19" s="3540">
        <f t="shared" si="9"/>
        <v>0</v>
      </c>
      <c r="BV19" s="3539"/>
      <c r="BW19" s="3542"/>
      <c r="BX19" s="3546"/>
      <c r="BY19" s="3539"/>
      <c r="BZ19" s="3540">
        <f t="shared" si="10"/>
        <v>0</v>
      </c>
      <c r="CA19" s="3539"/>
      <c r="CB19" s="3539"/>
      <c r="CC19" s="3539"/>
      <c r="CD19" s="3539"/>
      <c r="CE19" s="3540">
        <f t="shared" si="11"/>
        <v>0</v>
      </c>
      <c r="CF19" s="3539"/>
      <c r="CG19" s="3542"/>
      <c r="CH19" s="3547">
        <f t="shared" si="12"/>
        <v>243965.43</v>
      </c>
    </row>
    <row r="20" spans="1:86" ht="15.75" customHeight="1">
      <c r="A20" s="3522">
        <v>16</v>
      </c>
      <c r="B20" s="3522">
        <v>1</v>
      </c>
      <c r="C20" s="3523">
        <v>1404</v>
      </c>
      <c r="D20" s="3525" t="s">
        <v>3649</v>
      </c>
      <c r="E20" s="3525" t="s">
        <v>3585</v>
      </c>
      <c r="F20" s="3526">
        <v>44508</v>
      </c>
      <c r="G20" s="3548">
        <v>169.77</v>
      </c>
      <c r="H20" s="3527"/>
      <c r="I20" s="3528">
        <v>43663</v>
      </c>
      <c r="J20" s="3533">
        <v>43686</v>
      </c>
      <c r="K20" s="3533">
        <v>44781</v>
      </c>
      <c r="L20" s="3552" t="s">
        <v>3647</v>
      </c>
      <c r="M20" s="3549">
        <v>4.2</v>
      </c>
      <c r="N20" s="3532">
        <v>21688.12</v>
      </c>
      <c r="O20" s="3533"/>
      <c r="P20" s="3531"/>
      <c r="Q20" s="3532"/>
      <c r="R20" s="3532">
        <v>715710.96</v>
      </c>
      <c r="S20" s="3550" t="s">
        <v>3593</v>
      </c>
      <c r="T20" s="3550"/>
      <c r="U20" s="3534">
        <f t="shared" si="13"/>
        <v>17112.810000000001</v>
      </c>
      <c r="V20" s="3535">
        <v>65064.36</v>
      </c>
      <c r="W20" s="3536"/>
      <c r="X20" s="3536">
        <v>65067.360000000001</v>
      </c>
      <c r="Y20" s="3537">
        <v>260257.44</v>
      </c>
      <c r="Z20" s="3538">
        <v>44223</v>
      </c>
      <c r="AA20" s="3539">
        <v>65064.36</v>
      </c>
      <c r="AB20" s="3540">
        <f t="shared" si="0"/>
        <v>59692.07</v>
      </c>
      <c r="AC20" s="3559">
        <v>41757.4</v>
      </c>
      <c r="AD20" s="3539" t="s">
        <v>3618</v>
      </c>
      <c r="AE20" s="3538"/>
      <c r="AF20" s="3539"/>
      <c r="AG20" s="3540">
        <f t="shared" si="1"/>
        <v>0</v>
      </c>
      <c r="AH20" s="3541"/>
      <c r="AI20" s="3539"/>
      <c r="AJ20" s="3538"/>
      <c r="AK20" s="3539"/>
      <c r="AL20" s="3540">
        <f t="shared" si="2"/>
        <v>0</v>
      </c>
      <c r="AM20" s="3541"/>
      <c r="AN20" s="3542"/>
      <c r="AO20" s="3538"/>
      <c r="AP20" s="3540"/>
      <c r="AQ20" s="3540">
        <f t="shared" si="3"/>
        <v>0</v>
      </c>
      <c r="AR20" s="3540"/>
      <c r="AS20" s="3542"/>
      <c r="AT20" s="3538">
        <v>44323</v>
      </c>
      <c r="AU20" s="3539">
        <v>65064.36</v>
      </c>
      <c r="AV20" s="3540">
        <f t="shared" si="4"/>
        <v>59692.07</v>
      </c>
      <c r="AW20" s="3560">
        <v>41757.4</v>
      </c>
      <c r="AX20" s="3544" t="s">
        <v>3619</v>
      </c>
      <c r="AY20" s="3538"/>
      <c r="AZ20" s="3539"/>
      <c r="BA20" s="3540">
        <f t="shared" si="5"/>
        <v>0</v>
      </c>
      <c r="BB20" s="3539"/>
      <c r="BC20" s="3542"/>
      <c r="BD20" s="3538"/>
      <c r="BE20" s="3539"/>
      <c r="BF20" s="3540">
        <f t="shared" si="6"/>
        <v>0</v>
      </c>
      <c r="BG20" s="3539"/>
      <c r="BH20" s="3542"/>
      <c r="BI20" s="3538">
        <v>44413</v>
      </c>
      <c r="BJ20" s="3539">
        <v>65064.36</v>
      </c>
      <c r="BK20" s="3540">
        <f t="shared" si="7"/>
        <v>59692.07</v>
      </c>
      <c r="BL20" s="4006">
        <v>41757.4</v>
      </c>
      <c r="BM20" s="3542" t="s">
        <v>3648</v>
      </c>
      <c r="BN20" s="3546"/>
      <c r="BO20" s="3541"/>
      <c r="BP20" s="3540">
        <f t="shared" si="8"/>
        <v>0</v>
      </c>
      <c r="BQ20" s="3541"/>
      <c r="BR20" s="3542"/>
      <c r="BS20" s="3545"/>
      <c r="BT20" s="3539"/>
      <c r="BU20" s="3540">
        <f t="shared" si="9"/>
        <v>0</v>
      </c>
      <c r="BV20" s="3539"/>
      <c r="BW20" s="3542"/>
      <c r="BX20" s="3546"/>
      <c r="BY20" s="3539"/>
      <c r="BZ20" s="3540">
        <f t="shared" si="10"/>
        <v>0</v>
      </c>
      <c r="CA20" s="3539"/>
      <c r="CB20" s="3539"/>
      <c r="CC20" s="3539"/>
      <c r="CD20" s="3539"/>
      <c r="CE20" s="3540">
        <f t="shared" si="11"/>
        <v>0</v>
      </c>
      <c r="CF20" s="3539"/>
      <c r="CG20" s="3542"/>
      <c r="CH20" s="3547">
        <f t="shared" si="12"/>
        <v>195193.08000000002</v>
      </c>
    </row>
    <row r="21" spans="1:86" ht="15.75" customHeight="1">
      <c r="A21" s="3522">
        <v>17</v>
      </c>
      <c r="B21" s="3522">
        <v>1</v>
      </c>
      <c r="C21" s="3523">
        <v>1405</v>
      </c>
      <c r="D21" s="3525" t="s">
        <v>3649</v>
      </c>
      <c r="E21" s="3525" t="s">
        <v>3585</v>
      </c>
      <c r="F21" s="3526">
        <v>44508</v>
      </c>
      <c r="G21" s="3548">
        <v>244.49</v>
      </c>
      <c r="H21" s="3527"/>
      <c r="I21" s="3528">
        <v>43663</v>
      </c>
      <c r="J21" s="3533">
        <v>43686</v>
      </c>
      <c r="K21" s="3533">
        <v>44781</v>
      </c>
      <c r="L21" s="3552" t="s">
        <v>3647</v>
      </c>
      <c r="M21" s="3549">
        <v>4.57</v>
      </c>
      <c r="N21" s="3532">
        <v>31233.599999999999</v>
      </c>
      <c r="O21" s="3533"/>
      <c r="P21" s="3531"/>
      <c r="Q21" s="3532"/>
      <c r="R21" s="3532">
        <v>1030711.8</v>
      </c>
      <c r="S21" s="3550" t="s">
        <v>3593</v>
      </c>
      <c r="T21" s="3550"/>
      <c r="U21" s="3534">
        <f t="shared" si="13"/>
        <v>24644.58</v>
      </c>
      <c r="V21" s="3535">
        <v>93700.800000000003</v>
      </c>
      <c r="W21" s="3536"/>
      <c r="X21" s="3536">
        <v>93703.8</v>
      </c>
      <c r="Y21" s="3537">
        <v>374803.20000000001</v>
      </c>
      <c r="Z21" s="3538">
        <v>44223</v>
      </c>
      <c r="AA21" s="3539">
        <v>93700.800000000003</v>
      </c>
      <c r="AB21" s="3540">
        <f t="shared" si="0"/>
        <v>85964.04</v>
      </c>
      <c r="AC21" s="3561"/>
      <c r="AD21" s="3539" t="s">
        <v>3618</v>
      </c>
      <c r="AE21" s="3538"/>
      <c r="AF21" s="3539"/>
      <c r="AG21" s="3540">
        <f t="shared" si="1"/>
        <v>0</v>
      </c>
      <c r="AH21" s="3541"/>
      <c r="AI21" s="3539"/>
      <c r="AJ21" s="3538"/>
      <c r="AK21" s="3539"/>
      <c r="AL21" s="3540">
        <f t="shared" si="2"/>
        <v>0</v>
      </c>
      <c r="AM21" s="3541"/>
      <c r="AN21" s="3542"/>
      <c r="AO21" s="3538"/>
      <c r="AP21" s="3540"/>
      <c r="AQ21" s="3540">
        <f t="shared" si="3"/>
        <v>0</v>
      </c>
      <c r="AR21" s="3540"/>
      <c r="AS21" s="3542"/>
      <c r="AT21" s="3538">
        <v>44323</v>
      </c>
      <c r="AU21" s="3539">
        <v>93700.800000000003</v>
      </c>
      <c r="AV21" s="3540">
        <f t="shared" si="4"/>
        <v>85964.04</v>
      </c>
      <c r="AW21" s="3544"/>
      <c r="AX21" s="3544" t="s">
        <v>3619</v>
      </c>
      <c r="AY21" s="3538"/>
      <c r="AZ21" s="3539"/>
      <c r="BA21" s="3540">
        <f t="shared" si="5"/>
        <v>0</v>
      </c>
      <c r="BB21" s="3539"/>
      <c r="BC21" s="3542"/>
      <c r="BD21" s="3538"/>
      <c r="BE21" s="3539"/>
      <c r="BF21" s="3540">
        <f t="shared" si="6"/>
        <v>0</v>
      </c>
      <c r="BG21" s="3539"/>
      <c r="BH21" s="3542"/>
      <c r="BI21" s="3538">
        <v>44413</v>
      </c>
      <c r="BJ21" s="3539">
        <v>93700.800000000003</v>
      </c>
      <c r="BK21" s="3540">
        <f t="shared" si="7"/>
        <v>85964.04</v>
      </c>
      <c r="BL21" s="4007"/>
      <c r="BM21" s="3542" t="s">
        <v>3648</v>
      </c>
      <c r="BN21" s="3546"/>
      <c r="BO21" s="3541"/>
      <c r="BP21" s="3540">
        <f t="shared" si="8"/>
        <v>0</v>
      </c>
      <c r="BQ21" s="3541"/>
      <c r="BR21" s="3542"/>
      <c r="BS21" s="3545"/>
      <c r="BT21" s="3539"/>
      <c r="BU21" s="3540">
        <f t="shared" si="9"/>
        <v>0</v>
      </c>
      <c r="BV21" s="3539"/>
      <c r="BW21" s="3542"/>
      <c r="BX21" s="3546"/>
      <c r="BY21" s="3539"/>
      <c r="BZ21" s="3540">
        <f t="shared" si="10"/>
        <v>0</v>
      </c>
      <c r="CA21" s="3539"/>
      <c r="CB21" s="3539"/>
      <c r="CC21" s="3539"/>
      <c r="CD21" s="3539"/>
      <c r="CE21" s="3540">
        <f t="shared" si="11"/>
        <v>0</v>
      </c>
      <c r="CF21" s="3539"/>
      <c r="CG21" s="3542"/>
      <c r="CH21" s="3547">
        <f t="shared" si="12"/>
        <v>281102.40000000002</v>
      </c>
    </row>
    <row r="22" spans="1:86" ht="15.75" customHeight="1">
      <c r="A22" s="3522">
        <v>18</v>
      </c>
      <c r="B22" s="3522">
        <v>1</v>
      </c>
      <c r="C22" s="3523">
        <v>1407</v>
      </c>
      <c r="D22" s="3525" t="s">
        <v>3650</v>
      </c>
      <c r="E22" s="3525" t="s">
        <v>3642</v>
      </c>
      <c r="F22" s="3526">
        <v>44544</v>
      </c>
      <c r="G22" s="3548">
        <v>231.56</v>
      </c>
      <c r="H22" s="3527"/>
      <c r="I22" s="3528">
        <v>44288</v>
      </c>
      <c r="J22" s="3533">
        <v>44301</v>
      </c>
      <c r="K22" s="3533">
        <v>44453</v>
      </c>
      <c r="L22" s="3552" t="s">
        <v>3651</v>
      </c>
      <c r="M22" s="3549">
        <v>4</v>
      </c>
      <c r="N22" s="3532">
        <v>28173</v>
      </c>
      <c r="O22" s="3533"/>
      <c r="P22" s="3531"/>
      <c r="Q22" s="3532"/>
      <c r="R22" s="3532">
        <v>591636</v>
      </c>
      <c r="S22" s="3550" t="s">
        <v>3593</v>
      </c>
      <c r="T22" s="3550"/>
      <c r="U22" s="3534">
        <f t="shared" si="13"/>
        <v>23341.260000000002</v>
      </c>
      <c r="V22" s="3535">
        <v>84519</v>
      </c>
      <c r="W22" s="3536"/>
      <c r="X22" s="3536"/>
      <c r="Y22" s="3537"/>
      <c r="Z22" s="3538"/>
      <c r="AA22" s="3539"/>
      <c r="AB22" s="3540"/>
      <c r="AC22" s="3541"/>
      <c r="AD22" s="3539"/>
      <c r="AE22" s="3538"/>
      <c r="AF22" s="3539"/>
      <c r="AG22" s="3540"/>
      <c r="AH22" s="3541"/>
      <c r="AI22" s="3539"/>
      <c r="AJ22" s="3538"/>
      <c r="AK22" s="3539"/>
      <c r="AL22" s="3540"/>
      <c r="AM22" s="3541"/>
      <c r="AN22" s="3542"/>
      <c r="AO22" s="3538">
        <v>44298</v>
      </c>
      <c r="AP22" s="3540">
        <v>84521</v>
      </c>
      <c r="AQ22" s="3540">
        <f t="shared" si="3"/>
        <v>77542.2</v>
      </c>
      <c r="AR22" s="3540">
        <v>46682.52</v>
      </c>
      <c r="AS22" s="3542" t="s">
        <v>3652</v>
      </c>
      <c r="AT22" s="3538"/>
      <c r="AU22" s="3539"/>
      <c r="AV22" s="3540"/>
      <c r="AW22" s="3539"/>
      <c r="AX22" s="3544"/>
      <c r="AY22" s="3538"/>
      <c r="AZ22" s="3539"/>
      <c r="BA22" s="3540">
        <f t="shared" si="5"/>
        <v>0</v>
      </c>
      <c r="BB22" s="3539"/>
      <c r="BC22" s="3542"/>
      <c r="BD22" s="3538">
        <v>44379</v>
      </c>
      <c r="BE22" s="3539"/>
      <c r="BF22" s="3540">
        <f t="shared" si="6"/>
        <v>0</v>
      </c>
      <c r="BG22" s="3539">
        <v>23341.26</v>
      </c>
      <c r="BH22" s="3542"/>
      <c r="BI22" s="3538"/>
      <c r="BJ22" s="3539"/>
      <c r="BK22" s="3540">
        <f t="shared" si="7"/>
        <v>0</v>
      </c>
      <c r="BL22" s="3539"/>
      <c r="BM22" s="3542"/>
      <c r="BN22" s="3546">
        <v>44454</v>
      </c>
      <c r="BO22" s="3541">
        <v>84519</v>
      </c>
      <c r="BP22" s="3540">
        <f t="shared" si="8"/>
        <v>77540.37</v>
      </c>
      <c r="BQ22" s="3541"/>
      <c r="BR22" s="3542" t="s">
        <v>3614</v>
      </c>
      <c r="BS22" s="3545"/>
      <c r="BT22" s="3539"/>
      <c r="BU22" s="3540">
        <f t="shared" si="9"/>
        <v>0</v>
      </c>
      <c r="BV22" s="3539"/>
      <c r="BW22" s="3542"/>
      <c r="BX22" s="3546"/>
      <c r="BY22" s="3539"/>
      <c r="BZ22" s="3540">
        <f t="shared" si="10"/>
        <v>0</v>
      </c>
      <c r="CA22" s="3539"/>
      <c r="CB22" s="3539"/>
      <c r="CC22" s="3539"/>
      <c r="CD22" s="3539"/>
      <c r="CE22" s="3540">
        <f t="shared" si="11"/>
        <v>0</v>
      </c>
      <c r="CF22" s="3539"/>
      <c r="CG22" s="3542"/>
      <c r="CH22" s="3547">
        <f t="shared" si="12"/>
        <v>169040</v>
      </c>
    </row>
    <row r="23" spans="1:86" ht="15.75" customHeight="1">
      <c r="A23" s="3522">
        <v>19</v>
      </c>
      <c r="B23" s="3522">
        <v>1</v>
      </c>
      <c r="C23" s="3523">
        <v>1408</v>
      </c>
      <c r="D23" s="3525" t="s">
        <v>3653</v>
      </c>
      <c r="E23" s="3525" t="s">
        <v>3598</v>
      </c>
      <c r="F23" s="3526">
        <v>44530</v>
      </c>
      <c r="G23" s="3548">
        <v>159.5</v>
      </c>
      <c r="H23" s="3527"/>
      <c r="I23" s="3528">
        <v>43622</v>
      </c>
      <c r="J23" s="3533">
        <v>43617</v>
      </c>
      <c r="K23" s="3533">
        <v>44712</v>
      </c>
      <c r="L23" s="3552" t="s">
        <v>3654</v>
      </c>
      <c r="M23" s="3549">
        <v>5</v>
      </c>
      <c r="N23" s="3532">
        <v>24257.29</v>
      </c>
      <c r="O23" s="3533"/>
      <c r="P23" s="3531"/>
      <c r="Q23" s="3532"/>
      <c r="R23" s="3562">
        <v>727718.70000000007</v>
      </c>
      <c r="S23" s="3550" t="s">
        <v>3593</v>
      </c>
      <c r="T23" s="3550"/>
      <c r="U23" s="3534">
        <f t="shared" si="13"/>
        <v>16077.599999999999</v>
      </c>
      <c r="V23" s="3535">
        <v>72771.87</v>
      </c>
      <c r="W23" s="3536"/>
      <c r="X23" s="3536">
        <v>145543.74</v>
      </c>
      <c r="Y23" s="3537">
        <v>291087.48</v>
      </c>
      <c r="Z23" s="3538"/>
      <c r="AA23" s="3539"/>
      <c r="AB23" s="3540">
        <f t="shared" si="0"/>
        <v>0</v>
      </c>
      <c r="AC23" s="3541"/>
      <c r="AD23" s="3539"/>
      <c r="AE23" s="3538">
        <v>44255</v>
      </c>
      <c r="AF23" s="3539"/>
      <c r="AG23" s="3540">
        <f t="shared" si="1"/>
        <v>0</v>
      </c>
      <c r="AH23" s="3541">
        <v>16077.6</v>
      </c>
      <c r="AI23" s="3539"/>
      <c r="AJ23" s="3538">
        <v>44256</v>
      </c>
      <c r="AK23" s="3541">
        <v>60643.23</v>
      </c>
      <c r="AL23" s="3540">
        <f t="shared" si="2"/>
        <v>55635.99</v>
      </c>
      <c r="AM23" s="3541"/>
      <c r="AN23" s="3542" t="s">
        <v>3600</v>
      </c>
      <c r="AO23" s="3538"/>
      <c r="AP23" s="3540"/>
      <c r="AQ23" s="3540">
        <f t="shared" si="3"/>
        <v>0</v>
      </c>
      <c r="AR23" s="3540"/>
      <c r="AS23" s="3542"/>
      <c r="AT23" s="3538">
        <v>44341</v>
      </c>
      <c r="AU23" s="3539">
        <v>60643.23</v>
      </c>
      <c r="AV23" s="3540">
        <f t="shared" si="4"/>
        <v>55635.99</v>
      </c>
      <c r="AW23" s="3539">
        <v>16077.6</v>
      </c>
      <c r="AX23" s="3544" t="s">
        <v>3655</v>
      </c>
      <c r="AY23" s="3538"/>
      <c r="AZ23" s="3539"/>
      <c r="BA23" s="3540">
        <f t="shared" si="5"/>
        <v>0</v>
      </c>
      <c r="BB23" s="3539"/>
      <c r="BC23" s="3542"/>
      <c r="BD23" s="3538"/>
      <c r="BE23" s="3539"/>
      <c r="BF23" s="3540">
        <f t="shared" si="6"/>
        <v>0</v>
      </c>
      <c r="BG23" s="3539"/>
      <c r="BH23" s="3542"/>
      <c r="BI23" s="3538">
        <v>44439</v>
      </c>
      <c r="BJ23" s="3539">
        <v>72771.87</v>
      </c>
      <c r="BK23" s="3540">
        <f t="shared" si="7"/>
        <v>66763.179999999993</v>
      </c>
      <c r="BL23" s="3539">
        <v>16077.6</v>
      </c>
      <c r="BM23" s="3542" t="s">
        <v>3602</v>
      </c>
      <c r="BN23" s="3546"/>
      <c r="BO23" s="3541"/>
      <c r="BP23" s="3540">
        <f t="shared" si="8"/>
        <v>0</v>
      </c>
      <c r="BQ23" s="3541"/>
      <c r="BR23" s="3542"/>
      <c r="BS23" s="3545"/>
      <c r="BT23" s="3539"/>
      <c r="BU23" s="3540">
        <f t="shared" si="9"/>
        <v>0</v>
      </c>
      <c r="BV23" s="3539"/>
      <c r="BW23" s="3542"/>
      <c r="BX23" s="3546"/>
      <c r="BY23" s="3539"/>
      <c r="BZ23" s="3540">
        <f t="shared" si="10"/>
        <v>0</v>
      </c>
      <c r="CA23" s="3539"/>
      <c r="CB23" s="3539"/>
      <c r="CC23" s="3539"/>
      <c r="CD23" s="3539"/>
      <c r="CE23" s="3540">
        <f t="shared" si="11"/>
        <v>0</v>
      </c>
      <c r="CF23" s="3539"/>
      <c r="CG23" s="3542"/>
      <c r="CH23" s="3547">
        <f t="shared" si="12"/>
        <v>194058.33000000002</v>
      </c>
    </row>
    <row r="24" spans="1:86" ht="15.6" customHeight="1">
      <c r="A24" s="3522">
        <v>20</v>
      </c>
      <c r="B24" s="3522">
        <v>8</v>
      </c>
      <c r="C24" s="3563" t="s">
        <v>3656</v>
      </c>
      <c r="D24" s="3525" t="s">
        <v>3657</v>
      </c>
      <c r="E24" s="3525" t="s">
        <v>3585</v>
      </c>
      <c r="F24" s="3526">
        <v>44537</v>
      </c>
      <c r="G24" s="3548">
        <v>2007.46</v>
      </c>
      <c r="H24" s="3527"/>
      <c r="I24" s="3528">
        <v>43685</v>
      </c>
      <c r="J24" s="3533">
        <v>43746</v>
      </c>
      <c r="K24" s="3533">
        <v>44841</v>
      </c>
      <c r="L24" s="3552" t="s">
        <v>3658</v>
      </c>
      <c r="M24" s="3549">
        <v>3.7</v>
      </c>
      <c r="N24" s="3532">
        <v>225922.89</v>
      </c>
      <c r="O24" s="3533"/>
      <c r="P24" s="3531"/>
      <c r="Q24" s="3532"/>
      <c r="R24" s="3532">
        <v>6777692.79</v>
      </c>
      <c r="S24" s="3550" t="s">
        <v>3593</v>
      </c>
      <c r="T24" s="3550"/>
      <c r="U24" s="3534">
        <f t="shared" si="13"/>
        <v>202351.98</v>
      </c>
      <c r="V24" s="3535">
        <v>677768.68</v>
      </c>
      <c r="W24" s="3536"/>
      <c r="X24" s="3536">
        <v>677770.68</v>
      </c>
      <c r="Y24" s="3537">
        <v>2259230.9</v>
      </c>
      <c r="Z24" s="3538"/>
      <c r="AA24" s="3539"/>
      <c r="AB24" s="3540">
        <f t="shared" si="0"/>
        <v>0</v>
      </c>
      <c r="AC24" s="3541"/>
      <c r="AD24" s="3539"/>
      <c r="AE24" s="3538">
        <v>44237</v>
      </c>
      <c r="AF24" s="3539"/>
      <c r="AG24" s="3540">
        <f t="shared" si="1"/>
        <v>0</v>
      </c>
      <c r="AH24" s="3541">
        <v>202351.97</v>
      </c>
      <c r="AI24" s="3539"/>
      <c r="AJ24" s="3538">
        <v>44266</v>
      </c>
      <c r="AK24" s="3539">
        <v>677768.67</v>
      </c>
      <c r="AL24" s="3540">
        <f t="shared" si="2"/>
        <v>621806.12</v>
      </c>
      <c r="AM24" s="3541"/>
      <c r="AN24" s="3542" t="s">
        <v>3659</v>
      </c>
      <c r="AO24" s="3538"/>
      <c r="AP24" s="3540"/>
      <c r="AQ24" s="3540">
        <f t="shared" si="3"/>
        <v>0</v>
      </c>
      <c r="AR24" s="3540"/>
      <c r="AS24" s="3542"/>
      <c r="AT24" s="3538">
        <v>44337</v>
      </c>
      <c r="AU24" s="3539"/>
      <c r="AV24" s="3540">
        <f t="shared" si="4"/>
        <v>0</v>
      </c>
      <c r="AW24" s="3539">
        <v>202351.97</v>
      </c>
      <c r="AX24" s="3544"/>
      <c r="AY24" s="3538">
        <v>44376</v>
      </c>
      <c r="AZ24" s="3539">
        <v>677768.67</v>
      </c>
      <c r="BA24" s="3540">
        <f t="shared" si="5"/>
        <v>621806.12</v>
      </c>
      <c r="BB24" s="3539"/>
      <c r="BC24" s="3542" t="s">
        <v>3660</v>
      </c>
      <c r="BD24" s="3538"/>
      <c r="BE24" s="3539"/>
      <c r="BF24" s="3540">
        <f t="shared" si="6"/>
        <v>0</v>
      </c>
      <c r="BG24" s="3539"/>
      <c r="BH24" s="3542"/>
      <c r="BI24" s="3538">
        <v>44417</v>
      </c>
      <c r="BJ24" s="3539"/>
      <c r="BK24" s="3540">
        <f t="shared" si="7"/>
        <v>0</v>
      </c>
      <c r="BL24" s="3539">
        <v>202351.97</v>
      </c>
      <c r="BM24" s="3542"/>
      <c r="BN24" s="3546">
        <v>44447</v>
      </c>
      <c r="BO24" s="3541">
        <v>225924.89</v>
      </c>
      <c r="BP24" s="3540">
        <f t="shared" si="8"/>
        <v>207270.54</v>
      </c>
      <c r="BQ24" s="3541"/>
      <c r="BR24" s="3542" t="s">
        <v>3661</v>
      </c>
      <c r="BS24" s="3545"/>
      <c r="BT24" s="3539"/>
      <c r="BU24" s="3540">
        <f t="shared" si="9"/>
        <v>0</v>
      </c>
      <c r="BV24" s="3539"/>
      <c r="BW24" s="3542"/>
      <c r="BX24" s="3546"/>
      <c r="BY24" s="3539"/>
      <c r="BZ24" s="3540">
        <f t="shared" si="10"/>
        <v>0</v>
      </c>
      <c r="CA24" s="3539"/>
      <c r="CB24" s="3539"/>
      <c r="CC24" s="3539"/>
      <c r="CD24" s="3539"/>
      <c r="CE24" s="3540">
        <f t="shared" si="11"/>
        <v>0</v>
      </c>
      <c r="CF24" s="3539"/>
      <c r="CG24" s="3542"/>
      <c r="CH24" s="3547">
        <f t="shared" si="12"/>
        <v>1581462.23</v>
      </c>
    </row>
    <row r="25" spans="1:86" ht="15.6" customHeight="1">
      <c r="A25" s="3522">
        <v>21</v>
      </c>
      <c r="B25" s="3522">
        <v>1</v>
      </c>
      <c r="C25" s="3563" t="s">
        <v>3662</v>
      </c>
      <c r="D25" s="3525" t="s">
        <v>3663</v>
      </c>
      <c r="E25" s="3525"/>
      <c r="F25" s="3526">
        <v>44509</v>
      </c>
      <c r="G25" s="3548">
        <v>392.65</v>
      </c>
      <c r="H25" s="3527"/>
      <c r="I25" s="3528">
        <v>44336</v>
      </c>
      <c r="J25" s="3533">
        <v>44377</v>
      </c>
      <c r="K25" s="3533">
        <v>45472</v>
      </c>
      <c r="L25" s="3552" t="s">
        <v>3664</v>
      </c>
      <c r="M25" s="3549">
        <v>4.4000000000000004</v>
      </c>
      <c r="N25" s="3532">
        <v>52550</v>
      </c>
      <c r="O25" s="3533"/>
      <c r="P25" s="3531"/>
      <c r="Q25" s="3532"/>
      <c r="R25" s="3532">
        <v>1716157</v>
      </c>
      <c r="S25" s="3550" t="s">
        <v>3593</v>
      </c>
      <c r="T25" s="3550"/>
      <c r="U25" s="3534">
        <f t="shared" si="13"/>
        <v>39579.120000000003</v>
      </c>
      <c r="V25" s="3535">
        <v>157650</v>
      </c>
      <c r="W25" s="3536"/>
      <c r="X25" s="3536"/>
      <c r="Y25" s="3537"/>
      <c r="Z25" s="3538"/>
      <c r="AA25" s="3539"/>
      <c r="AB25" s="3540"/>
      <c r="AC25" s="3541"/>
      <c r="AD25" s="3539"/>
      <c r="AE25" s="3538"/>
      <c r="AF25" s="3539"/>
      <c r="AG25" s="3540"/>
      <c r="AH25" s="3541"/>
      <c r="AI25" s="3539"/>
      <c r="AJ25" s="3538"/>
      <c r="AK25" s="3539"/>
      <c r="AL25" s="3540"/>
      <c r="AM25" s="3541"/>
      <c r="AN25" s="3542"/>
      <c r="AO25" s="3538"/>
      <c r="AP25" s="3540"/>
      <c r="AQ25" s="3540"/>
      <c r="AR25" s="3540"/>
      <c r="AS25" s="3542"/>
      <c r="AT25" s="3538">
        <v>44336</v>
      </c>
      <c r="AU25" s="3539">
        <v>157652</v>
      </c>
      <c r="AV25" s="3540">
        <f t="shared" si="4"/>
        <v>144634.85999999999</v>
      </c>
      <c r="AW25" s="3539"/>
      <c r="AX25" s="3544" t="s">
        <v>3665</v>
      </c>
      <c r="AY25" s="3538"/>
      <c r="AZ25" s="3539"/>
      <c r="BA25" s="3540">
        <f t="shared" si="5"/>
        <v>0</v>
      </c>
      <c r="BB25" s="3539"/>
      <c r="BC25" s="3542"/>
      <c r="BD25" s="3538"/>
      <c r="BE25" s="3539"/>
      <c r="BF25" s="3540">
        <f t="shared" si="6"/>
        <v>0</v>
      </c>
      <c r="BG25" s="3539"/>
      <c r="BH25" s="3542"/>
      <c r="BI25" s="3538"/>
      <c r="BJ25" s="3539"/>
      <c r="BK25" s="3540">
        <f t="shared" si="7"/>
        <v>0</v>
      </c>
      <c r="BL25" s="3539"/>
      <c r="BM25" s="3542"/>
      <c r="BN25" s="3546"/>
      <c r="BO25" s="3541"/>
      <c r="BP25" s="3540">
        <f t="shared" si="8"/>
        <v>0</v>
      </c>
      <c r="BQ25" s="3541"/>
      <c r="BR25" s="3542"/>
      <c r="BS25" s="3545"/>
      <c r="BT25" s="3539"/>
      <c r="BU25" s="3540">
        <f t="shared" si="9"/>
        <v>0</v>
      </c>
      <c r="BV25" s="3539"/>
      <c r="BW25" s="3542"/>
      <c r="BX25" s="3546"/>
      <c r="BY25" s="3539"/>
      <c r="BZ25" s="3540">
        <f t="shared" si="10"/>
        <v>0</v>
      </c>
      <c r="CA25" s="3539"/>
      <c r="CB25" s="3539"/>
      <c r="CC25" s="3539"/>
      <c r="CD25" s="3539"/>
      <c r="CE25" s="3540">
        <f t="shared" si="11"/>
        <v>0</v>
      </c>
      <c r="CF25" s="3539"/>
      <c r="CG25" s="3542"/>
      <c r="CH25" s="3547">
        <f t="shared" si="12"/>
        <v>157652</v>
      </c>
    </row>
    <row r="26" spans="1:86" ht="15.75" customHeight="1">
      <c r="A26" s="3522">
        <v>22</v>
      </c>
      <c r="B26" s="3522">
        <v>1</v>
      </c>
      <c r="C26" s="3523">
        <v>1602</v>
      </c>
      <c r="D26" s="3525" t="s">
        <v>3666</v>
      </c>
      <c r="E26" s="3525" t="s">
        <v>3585</v>
      </c>
      <c r="F26" s="3526">
        <v>44601</v>
      </c>
      <c r="G26" s="3548">
        <v>275.75</v>
      </c>
      <c r="H26" s="3527"/>
      <c r="I26" s="3528">
        <v>44413</v>
      </c>
      <c r="J26" s="3533">
        <v>44479</v>
      </c>
      <c r="K26" s="3533">
        <v>45208</v>
      </c>
      <c r="L26" s="3552" t="s">
        <v>3667</v>
      </c>
      <c r="M26" s="3549">
        <v>4.55</v>
      </c>
      <c r="N26" s="3532">
        <v>38163</v>
      </c>
      <c r="O26" s="3533"/>
      <c r="P26" s="3531"/>
      <c r="Q26" s="3532"/>
      <c r="R26" s="3532">
        <v>457956</v>
      </c>
      <c r="S26" s="3550" t="s">
        <v>3593</v>
      </c>
      <c r="T26" s="3550"/>
      <c r="U26" s="3534">
        <f t="shared" si="13"/>
        <v>27795.600000000002</v>
      </c>
      <c r="V26" s="3535">
        <v>114489</v>
      </c>
      <c r="W26" s="3536">
        <v>116500.93</v>
      </c>
      <c r="X26" s="3536">
        <v>466003.6</v>
      </c>
      <c r="Y26" s="3537">
        <f>271835.52+114489</f>
        <v>386324.52</v>
      </c>
      <c r="Z26" s="3538">
        <v>44200</v>
      </c>
      <c r="AA26" s="3539">
        <v>114489</v>
      </c>
      <c r="AB26" s="3540">
        <f t="shared" si="0"/>
        <v>105035.78</v>
      </c>
      <c r="AC26" s="3541">
        <f>142284.6-AA26</f>
        <v>27795.600000000006</v>
      </c>
      <c r="AD26" s="3539" t="s">
        <v>3668</v>
      </c>
      <c r="AE26" s="3538"/>
      <c r="AF26" s="3539"/>
      <c r="AG26" s="3540">
        <f t="shared" si="1"/>
        <v>0</v>
      </c>
      <c r="AH26" s="3541"/>
      <c r="AI26" s="3539"/>
      <c r="AJ26" s="3538">
        <v>44285</v>
      </c>
      <c r="AK26" s="3539">
        <v>114489</v>
      </c>
      <c r="AL26" s="3540">
        <f t="shared" si="2"/>
        <v>105035.78</v>
      </c>
      <c r="AM26" s="3541">
        <v>27795.600000000006</v>
      </c>
      <c r="AN26" s="3542" t="s">
        <v>3669</v>
      </c>
      <c r="AO26" s="3538"/>
      <c r="AP26" s="3540"/>
      <c r="AQ26" s="3540">
        <f t="shared" si="3"/>
        <v>0</v>
      </c>
      <c r="AR26" s="3540"/>
      <c r="AS26" s="3542"/>
      <c r="AT26" s="3538"/>
      <c r="AU26" s="3539"/>
      <c r="AV26" s="3540">
        <f t="shared" si="4"/>
        <v>0</v>
      </c>
      <c r="AW26" s="3539"/>
      <c r="AX26" s="3544"/>
      <c r="AY26" s="3538">
        <v>44375</v>
      </c>
      <c r="AZ26" s="3539">
        <v>114489</v>
      </c>
      <c r="BA26" s="3540">
        <f t="shared" si="5"/>
        <v>105035.78</v>
      </c>
      <c r="BB26" s="3539">
        <f>142284.6-AZ26</f>
        <v>27795.600000000006</v>
      </c>
      <c r="BC26" s="3542" t="s">
        <v>3670</v>
      </c>
      <c r="BD26" s="3538"/>
      <c r="BE26" s="3539"/>
      <c r="BF26" s="3540">
        <f t="shared" si="6"/>
        <v>0</v>
      </c>
      <c r="BG26" s="3539"/>
      <c r="BH26" s="3542"/>
      <c r="BI26" s="3538"/>
      <c r="BJ26" s="3539"/>
      <c r="BK26" s="3540">
        <f t="shared" si="7"/>
        <v>0</v>
      </c>
      <c r="BL26" s="3539"/>
      <c r="BM26" s="3542"/>
      <c r="BN26" s="3546">
        <v>44463</v>
      </c>
      <c r="BO26" s="3541">
        <v>114490</v>
      </c>
      <c r="BP26" s="3540">
        <f t="shared" si="8"/>
        <v>105036.7</v>
      </c>
      <c r="BQ26" s="3541">
        <v>27795.599999999999</v>
      </c>
      <c r="BR26" s="3542" t="s">
        <v>3671</v>
      </c>
      <c r="BS26" s="3545"/>
      <c r="BT26" s="3539"/>
      <c r="BU26" s="3540">
        <f t="shared" si="9"/>
        <v>0</v>
      </c>
      <c r="BV26" s="3539"/>
      <c r="BW26" s="3542"/>
      <c r="BX26" s="3546"/>
      <c r="BY26" s="3539"/>
      <c r="BZ26" s="3540">
        <f t="shared" si="10"/>
        <v>0</v>
      </c>
      <c r="CA26" s="3539"/>
      <c r="CB26" s="3539"/>
      <c r="CC26" s="3539"/>
      <c r="CD26" s="3539"/>
      <c r="CE26" s="3540">
        <f t="shared" si="11"/>
        <v>0</v>
      </c>
      <c r="CF26" s="3539"/>
      <c r="CG26" s="3542"/>
      <c r="CH26" s="3547">
        <f t="shared" si="12"/>
        <v>457957</v>
      </c>
    </row>
    <row r="27" spans="1:86" ht="15.75" customHeight="1">
      <c r="A27" s="3522">
        <v>23</v>
      </c>
      <c r="B27" s="3522">
        <v>1</v>
      </c>
      <c r="C27" s="3523">
        <v>1603</v>
      </c>
      <c r="D27" s="3525" t="s">
        <v>3672</v>
      </c>
      <c r="E27" s="3525" t="s">
        <v>3642</v>
      </c>
      <c r="F27" s="3526">
        <v>44500</v>
      </c>
      <c r="G27" s="3548">
        <v>212.19</v>
      </c>
      <c r="H27" s="3527"/>
      <c r="I27" s="3528">
        <v>44285</v>
      </c>
      <c r="J27" s="3533">
        <v>44287</v>
      </c>
      <c r="K27" s="3533">
        <v>45016</v>
      </c>
      <c r="L27" s="3552" t="s">
        <v>3673</v>
      </c>
      <c r="M27" s="3549">
        <v>4.4000000000000004</v>
      </c>
      <c r="N27" s="3532">
        <v>28398</v>
      </c>
      <c r="O27" s="3533"/>
      <c r="P27" s="3531"/>
      <c r="Q27" s="3532"/>
      <c r="R27" s="3532">
        <v>596361</v>
      </c>
      <c r="S27" s="3550" t="s">
        <v>3593</v>
      </c>
      <c r="T27" s="3564"/>
      <c r="U27" s="3534">
        <f t="shared" si="13"/>
        <v>21388.739999999998</v>
      </c>
      <c r="V27" s="3535">
        <v>85194</v>
      </c>
      <c r="W27" s="3536">
        <v>104556.63</v>
      </c>
      <c r="X27" s="3536">
        <v>418226.52</v>
      </c>
      <c r="Y27" s="3537">
        <f>313669.89+104556.63</f>
        <v>418226.52</v>
      </c>
      <c r="Z27" s="3538"/>
      <c r="AA27" s="3539"/>
      <c r="AB27" s="3540">
        <f t="shared" si="0"/>
        <v>0</v>
      </c>
      <c r="AC27" s="3541"/>
      <c r="AD27" s="3539"/>
      <c r="AE27" s="3538"/>
      <c r="AF27" s="3539"/>
      <c r="AG27" s="3540">
        <f t="shared" si="1"/>
        <v>0</v>
      </c>
      <c r="AH27" s="3541"/>
      <c r="AI27" s="3539"/>
      <c r="AJ27" s="3538">
        <v>44286</v>
      </c>
      <c r="AK27" s="3539">
        <v>85195</v>
      </c>
      <c r="AL27" s="3540">
        <f t="shared" si="2"/>
        <v>78160.55</v>
      </c>
      <c r="AM27" s="3541">
        <v>42777.48</v>
      </c>
      <c r="AN27" s="3565" t="s">
        <v>3674</v>
      </c>
      <c r="AO27" s="3538"/>
      <c r="AP27" s="3540"/>
      <c r="AQ27" s="3540">
        <f t="shared" si="3"/>
        <v>0</v>
      </c>
      <c r="AR27" s="3540"/>
      <c r="AS27" s="3542"/>
      <c r="AT27" s="3538"/>
      <c r="AU27" s="3539"/>
      <c r="AV27" s="3540">
        <f t="shared" si="4"/>
        <v>0</v>
      </c>
      <c r="AW27" s="3539"/>
      <c r="AX27" s="3544"/>
      <c r="AY27" s="3538"/>
      <c r="AZ27" s="3539"/>
      <c r="BA27" s="3540">
        <f t="shared" si="5"/>
        <v>0</v>
      </c>
      <c r="BB27" s="3539"/>
      <c r="BC27" s="3542"/>
      <c r="BD27" s="3566" t="s">
        <v>3675</v>
      </c>
      <c r="BE27" s="3539">
        <v>85194</v>
      </c>
      <c r="BF27" s="3540">
        <f t="shared" si="6"/>
        <v>78159.63</v>
      </c>
      <c r="BG27" s="3539">
        <v>21388.75</v>
      </c>
      <c r="BH27" s="3542" t="s">
        <v>3604</v>
      </c>
      <c r="BI27" s="3538"/>
      <c r="BJ27" s="3539"/>
      <c r="BK27" s="3540">
        <f t="shared" si="7"/>
        <v>0</v>
      </c>
      <c r="BL27" s="3539"/>
      <c r="BM27" s="3542"/>
      <c r="BN27" s="3546"/>
      <c r="BO27" s="3541"/>
      <c r="BP27" s="3540">
        <f t="shared" si="8"/>
        <v>0</v>
      </c>
      <c r="BQ27" s="3541"/>
      <c r="BR27" s="3542"/>
      <c r="BS27" s="3545"/>
      <c r="BT27" s="3539"/>
      <c r="BU27" s="3540">
        <f t="shared" si="9"/>
        <v>0</v>
      </c>
      <c r="BV27" s="3539"/>
      <c r="BW27" s="3542"/>
      <c r="BX27" s="3546"/>
      <c r="BY27" s="3539"/>
      <c r="BZ27" s="3540">
        <f t="shared" si="10"/>
        <v>0</v>
      </c>
      <c r="CA27" s="3539"/>
      <c r="CB27" s="3539"/>
      <c r="CC27" s="3539"/>
      <c r="CD27" s="3539"/>
      <c r="CE27" s="3540">
        <f t="shared" si="11"/>
        <v>0</v>
      </c>
      <c r="CF27" s="3539"/>
      <c r="CG27" s="3542"/>
      <c r="CH27" s="3547">
        <f t="shared" si="12"/>
        <v>170389</v>
      </c>
    </row>
    <row r="28" spans="1:86" ht="15.75" customHeight="1">
      <c r="A28" s="3522">
        <v>24</v>
      </c>
      <c r="B28" s="3522">
        <v>1</v>
      </c>
      <c r="C28" s="3554">
        <v>1604</v>
      </c>
      <c r="D28" s="3555" t="s">
        <v>3676</v>
      </c>
      <c r="E28" s="3555" t="s">
        <v>3585</v>
      </c>
      <c r="F28" s="3556">
        <v>44439</v>
      </c>
      <c r="G28" s="3548" t="s">
        <v>3677</v>
      </c>
      <c r="H28" s="3548">
        <v>169.77</v>
      </c>
      <c r="I28" s="3528">
        <v>43344</v>
      </c>
      <c r="J28" s="3533">
        <v>43344</v>
      </c>
      <c r="K28" s="3533">
        <v>44439</v>
      </c>
      <c r="L28" s="3552" t="s">
        <v>3678</v>
      </c>
      <c r="M28" s="3549">
        <v>5.0999999999999996</v>
      </c>
      <c r="N28" s="3532">
        <v>26335.57</v>
      </c>
      <c r="O28" s="3533"/>
      <c r="P28" s="3531"/>
      <c r="Q28" s="3532"/>
      <c r="R28" s="3532">
        <v>869073.81</v>
      </c>
      <c r="S28" s="3550" t="s">
        <v>3593</v>
      </c>
      <c r="T28" s="3550"/>
      <c r="U28" s="3534">
        <f>ROUND(H28*33.6,2)*3</f>
        <v>17112.810000000001</v>
      </c>
      <c r="V28" s="3535">
        <v>79006.710000000006</v>
      </c>
      <c r="W28" s="3536">
        <v>79006.710000000006</v>
      </c>
      <c r="X28" s="3536">
        <v>319187.11</v>
      </c>
      <c r="Y28" s="3537">
        <v>289691.27</v>
      </c>
      <c r="Z28" s="3538">
        <v>44225</v>
      </c>
      <c r="AA28" s="3539">
        <v>26335.57</v>
      </c>
      <c r="AB28" s="3540">
        <f t="shared" si="0"/>
        <v>24161.07</v>
      </c>
      <c r="AC28" s="3541">
        <f>32039.84-AA28</f>
        <v>5704.27</v>
      </c>
      <c r="AD28" s="3539" t="s">
        <v>3679</v>
      </c>
      <c r="AE28" s="3538"/>
      <c r="AF28" s="3539"/>
      <c r="AG28" s="3540">
        <f t="shared" si="1"/>
        <v>0</v>
      </c>
      <c r="AH28" s="3541"/>
      <c r="AI28" s="3539"/>
      <c r="AJ28" s="3538">
        <v>44256</v>
      </c>
      <c r="AK28" s="3539">
        <v>79006.710000000006</v>
      </c>
      <c r="AL28" s="3540">
        <f t="shared" si="2"/>
        <v>72483.22</v>
      </c>
      <c r="AM28" s="3541">
        <f>96119.52-AK28</f>
        <v>17112.809999999998</v>
      </c>
      <c r="AN28" s="3542" t="s">
        <v>3600</v>
      </c>
      <c r="AO28" s="3538"/>
      <c r="AP28" s="3540"/>
      <c r="AQ28" s="3540">
        <f t="shared" si="3"/>
        <v>0</v>
      </c>
      <c r="AR28" s="3540"/>
      <c r="AS28" s="3542"/>
      <c r="AT28" s="3538"/>
      <c r="AU28" s="3539"/>
      <c r="AV28" s="3540">
        <f t="shared" si="4"/>
        <v>0</v>
      </c>
      <c r="AW28" s="3539"/>
      <c r="AX28" s="3544"/>
      <c r="AY28" s="3538">
        <v>44348</v>
      </c>
      <c r="AZ28" s="3539">
        <v>79006.710000000006</v>
      </c>
      <c r="BA28" s="3540">
        <f t="shared" si="5"/>
        <v>72483.22</v>
      </c>
      <c r="BB28" s="3539"/>
      <c r="BC28" s="3542" t="s">
        <v>3601</v>
      </c>
      <c r="BD28" s="3538"/>
      <c r="BE28" s="3539"/>
      <c r="BF28" s="3540">
        <f t="shared" si="6"/>
        <v>0</v>
      </c>
      <c r="BG28" s="3539"/>
      <c r="BH28" s="3542"/>
      <c r="BI28" s="3538"/>
      <c r="BJ28" s="3539"/>
      <c r="BK28" s="3540">
        <f t="shared" si="7"/>
        <v>0</v>
      </c>
      <c r="BL28" s="3539"/>
      <c r="BM28" s="3542"/>
      <c r="BN28" s="3546"/>
      <c r="BO28" s="3541"/>
      <c r="BP28" s="3540">
        <f t="shared" si="8"/>
        <v>0</v>
      </c>
      <c r="BQ28" s="3541"/>
      <c r="BR28" s="3542"/>
      <c r="BS28" s="3545"/>
      <c r="BT28" s="3539"/>
      <c r="BU28" s="3540">
        <f t="shared" si="9"/>
        <v>0</v>
      </c>
      <c r="BV28" s="3539"/>
      <c r="BW28" s="3542"/>
      <c r="BX28" s="3546"/>
      <c r="BY28" s="3539"/>
      <c r="BZ28" s="3540">
        <f t="shared" si="10"/>
        <v>0</v>
      </c>
      <c r="CA28" s="3539"/>
      <c r="CB28" s="3539"/>
      <c r="CC28" s="3539"/>
      <c r="CD28" s="3539"/>
      <c r="CE28" s="3540">
        <f t="shared" si="11"/>
        <v>0</v>
      </c>
      <c r="CF28" s="3539"/>
      <c r="CG28" s="3542"/>
      <c r="CH28" s="3547">
        <f t="shared" si="12"/>
        <v>184348.99000000002</v>
      </c>
    </row>
    <row r="29" spans="1:86" ht="15.75" customHeight="1">
      <c r="A29" s="3522">
        <v>25</v>
      </c>
      <c r="B29" s="3522"/>
      <c r="C29" s="3554">
        <v>1605</v>
      </c>
      <c r="D29" s="3555" t="s">
        <v>3680</v>
      </c>
      <c r="E29" s="3555" t="s">
        <v>3598</v>
      </c>
      <c r="F29" s="3556">
        <v>44431</v>
      </c>
      <c r="G29" s="3548" t="s">
        <v>3677</v>
      </c>
      <c r="H29" s="3557">
        <v>244.49</v>
      </c>
      <c r="I29" s="3528">
        <v>44057</v>
      </c>
      <c r="J29" s="3533">
        <v>44067</v>
      </c>
      <c r="K29" s="3533">
        <v>44796</v>
      </c>
      <c r="L29" s="3552" t="s">
        <v>3681</v>
      </c>
      <c r="M29" s="3549">
        <v>4.2</v>
      </c>
      <c r="N29" s="3532">
        <v>31234</v>
      </c>
      <c r="O29" s="3533"/>
      <c r="P29" s="3531"/>
      <c r="Q29" s="3532"/>
      <c r="R29" s="3532">
        <v>749616</v>
      </c>
      <c r="S29" s="3550" t="s">
        <v>3593</v>
      </c>
      <c r="T29" s="3550"/>
      <c r="U29" s="3534">
        <f>ROUND(H29*33.6,2)*3</f>
        <v>24644.58</v>
      </c>
      <c r="V29" s="3535">
        <v>93702</v>
      </c>
      <c r="W29" s="3536">
        <v>107086.62</v>
      </c>
      <c r="X29" s="3536">
        <v>428346.48</v>
      </c>
      <c r="Y29" s="3537">
        <f>249868.78+187404</f>
        <v>437272.78</v>
      </c>
      <c r="Z29" s="3538"/>
      <c r="AA29" s="3539"/>
      <c r="AB29" s="3540">
        <f t="shared" si="0"/>
        <v>0</v>
      </c>
      <c r="AC29" s="3541"/>
      <c r="AD29" s="3539"/>
      <c r="AE29" s="3538">
        <v>44251</v>
      </c>
      <c r="AF29" s="3539">
        <v>93702</v>
      </c>
      <c r="AG29" s="3540">
        <f t="shared" si="1"/>
        <v>85965.14</v>
      </c>
      <c r="AH29" s="3541">
        <v>24644.59</v>
      </c>
      <c r="AI29" s="3539" t="s">
        <v>3682</v>
      </c>
      <c r="AJ29" s="3538"/>
      <c r="AK29" s="3539"/>
      <c r="AL29" s="3540">
        <f t="shared" si="2"/>
        <v>0</v>
      </c>
      <c r="AM29" s="3541"/>
      <c r="AN29" s="3542"/>
      <c r="AO29" s="3538"/>
      <c r="AP29" s="3540"/>
      <c r="AQ29" s="3540">
        <f t="shared" si="3"/>
        <v>0</v>
      </c>
      <c r="AR29" s="3540"/>
      <c r="AS29" s="3542"/>
      <c r="AT29" s="3538">
        <v>44340</v>
      </c>
      <c r="AU29" s="3539">
        <v>93702</v>
      </c>
      <c r="AV29" s="3540">
        <f t="shared" si="4"/>
        <v>85965.14</v>
      </c>
      <c r="AW29" s="3539">
        <v>24644.59</v>
      </c>
      <c r="AX29" s="3544" t="s">
        <v>3683</v>
      </c>
      <c r="AY29" s="3538"/>
      <c r="AZ29" s="3539"/>
      <c r="BA29" s="3540">
        <f t="shared" si="5"/>
        <v>0</v>
      </c>
      <c r="BB29" s="3539"/>
      <c r="BC29" s="3542"/>
      <c r="BD29" s="3538"/>
      <c r="BE29" s="3532"/>
      <c r="BF29" s="3540">
        <f t="shared" si="6"/>
        <v>0</v>
      </c>
      <c r="BG29" s="3539"/>
      <c r="BH29" s="3542"/>
      <c r="BI29" s="3538"/>
      <c r="BJ29" s="3539"/>
      <c r="BK29" s="3540">
        <f t="shared" si="7"/>
        <v>0</v>
      </c>
      <c r="BL29" s="3539"/>
      <c r="BM29" s="3542"/>
      <c r="BN29" s="3546"/>
      <c r="BO29" s="3541"/>
      <c r="BP29" s="3540">
        <f t="shared" si="8"/>
        <v>0</v>
      </c>
      <c r="BQ29" s="3541"/>
      <c r="BR29" s="3542"/>
      <c r="BS29" s="3545"/>
      <c r="BT29" s="3539"/>
      <c r="BU29" s="3540">
        <f t="shared" si="9"/>
        <v>0</v>
      </c>
      <c r="BV29" s="3539"/>
      <c r="BW29" s="3542"/>
      <c r="BX29" s="3546"/>
      <c r="BY29" s="3539"/>
      <c r="BZ29" s="3540">
        <f t="shared" si="10"/>
        <v>0</v>
      </c>
      <c r="CA29" s="3539"/>
      <c r="CB29" s="3539"/>
      <c r="CC29" s="3539"/>
      <c r="CD29" s="3539"/>
      <c r="CE29" s="3540">
        <f t="shared" si="11"/>
        <v>0</v>
      </c>
      <c r="CF29" s="3539"/>
      <c r="CG29" s="3542"/>
      <c r="CH29" s="3547">
        <f t="shared" si="12"/>
        <v>187404</v>
      </c>
    </row>
    <row r="30" spans="1:86" ht="15.75" customHeight="1">
      <c r="A30" s="3522">
        <v>26</v>
      </c>
      <c r="B30" s="3522"/>
      <c r="C30" s="3554">
        <v>1608</v>
      </c>
      <c r="D30" s="3555" t="s">
        <v>3684</v>
      </c>
      <c r="E30" s="3555" t="s">
        <v>3585</v>
      </c>
      <c r="F30" s="3556">
        <v>44439</v>
      </c>
      <c r="G30" s="3557" t="s">
        <v>3685</v>
      </c>
      <c r="H30" s="3557">
        <v>159.5</v>
      </c>
      <c r="I30" s="3528">
        <v>44063</v>
      </c>
      <c r="J30" s="3533">
        <v>44075</v>
      </c>
      <c r="K30" s="3533">
        <v>44439</v>
      </c>
      <c r="L30" s="3552" t="s">
        <v>3681</v>
      </c>
      <c r="M30" s="3549">
        <v>4.1500000000000004</v>
      </c>
      <c r="N30" s="3532">
        <v>20134</v>
      </c>
      <c r="O30" s="3533"/>
      <c r="P30" s="3531"/>
      <c r="Q30" s="3532"/>
      <c r="R30" s="3532">
        <v>241608</v>
      </c>
      <c r="S30" s="3550" t="s">
        <v>3593</v>
      </c>
      <c r="T30" s="3550"/>
      <c r="U30" s="3534"/>
      <c r="V30" s="3535">
        <v>60402</v>
      </c>
      <c r="W30" s="3536">
        <v>75682.740000000005</v>
      </c>
      <c r="X30" s="3536">
        <v>302730.96000000002</v>
      </c>
      <c r="Y30" s="3537">
        <f>176593.06+120804</f>
        <v>297397.06</v>
      </c>
      <c r="Z30" s="3538"/>
      <c r="AA30" s="3539"/>
      <c r="AB30" s="3540">
        <f t="shared" si="0"/>
        <v>0</v>
      </c>
      <c r="AC30" s="3541"/>
      <c r="AD30" s="3539"/>
      <c r="AE30" s="3538"/>
      <c r="AF30" s="3539"/>
      <c r="AG30" s="3540">
        <f t="shared" si="1"/>
        <v>0</v>
      </c>
      <c r="AH30" s="3541"/>
      <c r="AI30" s="3539"/>
      <c r="AJ30" s="3538">
        <v>44256</v>
      </c>
      <c r="AK30" s="3539">
        <v>60402</v>
      </c>
      <c r="AL30" s="3540">
        <f t="shared" si="2"/>
        <v>55414.68</v>
      </c>
      <c r="AM30" s="3541">
        <v>16077.6</v>
      </c>
      <c r="AN30" s="3542" t="s">
        <v>3600</v>
      </c>
      <c r="AO30" s="3538"/>
      <c r="AP30" s="3540"/>
      <c r="AQ30" s="3540">
        <f t="shared" si="3"/>
        <v>0</v>
      </c>
      <c r="AR30" s="3540"/>
      <c r="AS30" s="3542"/>
      <c r="AT30" s="3538">
        <v>44343</v>
      </c>
      <c r="AU30" s="3539">
        <v>60402</v>
      </c>
      <c r="AV30" s="3540">
        <f t="shared" si="4"/>
        <v>55414.68</v>
      </c>
      <c r="AW30" s="3539">
        <v>16077.6</v>
      </c>
      <c r="AX30" s="3544" t="s">
        <v>3601</v>
      </c>
      <c r="AY30" s="3538"/>
      <c r="AZ30" s="3539"/>
      <c r="BA30" s="3540">
        <f t="shared" si="5"/>
        <v>0</v>
      </c>
      <c r="BB30" s="3539"/>
      <c r="BC30" s="3542"/>
      <c r="BD30" s="3538"/>
      <c r="BE30" s="3539"/>
      <c r="BF30" s="3540">
        <f t="shared" si="6"/>
        <v>0</v>
      </c>
      <c r="BG30" s="3539"/>
      <c r="BH30" s="3542"/>
      <c r="BI30" s="3538"/>
      <c r="BJ30" s="3539"/>
      <c r="BK30" s="3540">
        <f t="shared" si="7"/>
        <v>0</v>
      </c>
      <c r="BL30" s="3539"/>
      <c r="BM30" s="3542"/>
      <c r="BN30" s="3546"/>
      <c r="BO30" s="3541"/>
      <c r="BP30" s="3540">
        <f t="shared" si="8"/>
        <v>0</v>
      </c>
      <c r="BQ30" s="3541"/>
      <c r="BR30" s="3542"/>
      <c r="BS30" s="3545"/>
      <c r="BT30" s="3539"/>
      <c r="BU30" s="3540">
        <f t="shared" si="9"/>
        <v>0</v>
      </c>
      <c r="BV30" s="3539"/>
      <c r="BW30" s="3542"/>
      <c r="BX30" s="3546"/>
      <c r="BY30" s="3539"/>
      <c r="BZ30" s="3540">
        <f t="shared" si="10"/>
        <v>0</v>
      </c>
      <c r="CA30" s="3539"/>
      <c r="CB30" s="3539"/>
      <c r="CC30" s="3539"/>
      <c r="CD30" s="3539"/>
      <c r="CE30" s="3540">
        <f t="shared" si="11"/>
        <v>0</v>
      </c>
      <c r="CF30" s="3539"/>
      <c r="CG30" s="3542"/>
      <c r="CH30" s="3547">
        <f t="shared" si="12"/>
        <v>120804</v>
      </c>
    </row>
    <row r="31" spans="1:86" ht="15.75" customHeight="1">
      <c r="A31" s="3522">
        <v>27</v>
      </c>
      <c r="B31" s="3522">
        <v>1</v>
      </c>
      <c r="C31" s="3523">
        <v>1608</v>
      </c>
      <c r="D31" s="3525" t="s">
        <v>3686</v>
      </c>
      <c r="E31" s="3525" t="s">
        <v>3638</v>
      </c>
      <c r="F31" s="3526">
        <v>44566</v>
      </c>
      <c r="G31" s="3548">
        <v>159.5</v>
      </c>
      <c r="H31" s="3527"/>
      <c r="I31" s="3528">
        <v>44411</v>
      </c>
      <c r="J31" s="3533">
        <v>44445</v>
      </c>
      <c r="K31" s="3533">
        <v>45540</v>
      </c>
      <c r="L31" s="3552" t="s">
        <v>3687</v>
      </c>
      <c r="M31" s="3549">
        <v>4.4000000000000004</v>
      </c>
      <c r="N31" s="3532">
        <v>21346</v>
      </c>
      <c r="O31" s="3533"/>
      <c r="P31" s="3531"/>
      <c r="Q31" s="3532"/>
      <c r="R31" s="3532">
        <v>704421</v>
      </c>
      <c r="S31" s="3550" t="s">
        <v>3593</v>
      </c>
      <c r="T31" s="3550"/>
      <c r="U31" s="3534">
        <f t="shared" si="13"/>
        <v>16077.599999999999</v>
      </c>
      <c r="V31" s="3535">
        <v>64038</v>
      </c>
      <c r="W31" s="3536"/>
      <c r="X31" s="3536"/>
      <c r="Y31" s="3537"/>
      <c r="Z31" s="3538"/>
      <c r="AA31" s="3539"/>
      <c r="AB31" s="3540"/>
      <c r="AC31" s="3541"/>
      <c r="AD31" s="3539"/>
      <c r="AE31" s="3538"/>
      <c r="AF31" s="3539"/>
      <c r="AG31" s="3540"/>
      <c r="AH31" s="3541"/>
      <c r="AI31" s="3539"/>
      <c r="AJ31" s="3538"/>
      <c r="AK31" s="3539"/>
      <c r="AL31" s="3540"/>
      <c r="AM31" s="3541"/>
      <c r="AN31" s="3542"/>
      <c r="AO31" s="3538"/>
      <c r="AP31" s="3540"/>
      <c r="AQ31" s="3540"/>
      <c r="AR31" s="3540"/>
      <c r="AS31" s="3542"/>
      <c r="AT31" s="3538"/>
      <c r="AU31" s="3539"/>
      <c r="AV31" s="3540"/>
      <c r="AW31" s="3539"/>
      <c r="AX31" s="3544"/>
      <c r="AY31" s="3538"/>
      <c r="AZ31" s="3539"/>
      <c r="BA31" s="3540"/>
      <c r="BB31" s="3539"/>
      <c r="BC31" s="3542"/>
      <c r="BD31" s="3538"/>
      <c r="BE31" s="3539"/>
      <c r="BF31" s="3540"/>
      <c r="BG31" s="3539"/>
      <c r="BH31" s="3542"/>
      <c r="BI31" s="3538">
        <v>44420</v>
      </c>
      <c r="BJ31" s="3539">
        <v>64039</v>
      </c>
      <c r="BK31" s="3540">
        <f t="shared" si="7"/>
        <v>58751.38</v>
      </c>
      <c r="BL31" s="3539">
        <v>32155.200000000001</v>
      </c>
      <c r="BM31" s="3542" t="s">
        <v>3688</v>
      </c>
      <c r="BN31" s="3546"/>
      <c r="BO31" s="3541"/>
      <c r="BP31" s="3540">
        <f t="shared" si="8"/>
        <v>0</v>
      </c>
      <c r="BQ31" s="3541"/>
      <c r="BR31" s="3542"/>
      <c r="BS31" s="3545"/>
      <c r="BT31" s="3539"/>
      <c r="BU31" s="3540">
        <f t="shared" si="9"/>
        <v>0</v>
      </c>
      <c r="BV31" s="3539"/>
      <c r="BW31" s="3542"/>
      <c r="BX31" s="3546"/>
      <c r="BY31" s="3539"/>
      <c r="BZ31" s="3540">
        <f t="shared" si="10"/>
        <v>0</v>
      </c>
      <c r="CA31" s="3539"/>
      <c r="CB31" s="3539"/>
      <c r="CC31" s="3539"/>
      <c r="CD31" s="3539"/>
      <c r="CE31" s="3540">
        <f t="shared" si="11"/>
        <v>0</v>
      </c>
      <c r="CF31" s="3539"/>
      <c r="CG31" s="3542"/>
      <c r="CH31" s="3547">
        <f t="shared" si="12"/>
        <v>64039</v>
      </c>
    </row>
    <row r="32" spans="1:86" ht="15.75" customHeight="1">
      <c r="A32" s="3522">
        <v>28</v>
      </c>
      <c r="B32" s="3522">
        <v>2</v>
      </c>
      <c r="C32" s="3563" t="s">
        <v>3689</v>
      </c>
      <c r="D32" s="3525" t="s">
        <v>3690</v>
      </c>
      <c r="E32" s="3525" t="s">
        <v>3585</v>
      </c>
      <c r="F32" s="3526">
        <v>44556</v>
      </c>
      <c r="G32" s="3548">
        <v>554.20000000000005</v>
      </c>
      <c r="H32" s="3527"/>
      <c r="I32" s="3528">
        <v>43461</v>
      </c>
      <c r="J32" s="3533">
        <v>43461</v>
      </c>
      <c r="K32" s="3533">
        <v>44556</v>
      </c>
      <c r="L32" s="3552" t="s">
        <v>3691</v>
      </c>
      <c r="M32" s="3549">
        <v>4.7</v>
      </c>
      <c r="N32" s="3532">
        <v>79227.509999999995</v>
      </c>
      <c r="O32" s="3533"/>
      <c r="P32" s="3531"/>
      <c r="Q32" s="3532"/>
      <c r="R32" s="3532">
        <v>2614507.83</v>
      </c>
      <c r="S32" s="3550" t="s">
        <v>3593</v>
      </c>
      <c r="T32" s="3550"/>
      <c r="U32" s="3534">
        <f t="shared" si="13"/>
        <v>55863.360000000001</v>
      </c>
      <c r="V32" s="3535">
        <v>237682.53</v>
      </c>
      <c r="W32" s="3536">
        <v>237682.53</v>
      </c>
      <c r="X32" s="3536">
        <v>713047.59</v>
      </c>
      <c r="Y32" s="3537">
        <v>713047.59</v>
      </c>
      <c r="Z32" s="3538">
        <v>44204</v>
      </c>
      <c r="AA32" s="3539">
        <v>237682.53</v>
      </c>
      <c r="AB32" s="3540">
        <f t="shared" si="0"/>
        <v>218057.37</v>
      </c>
      <c r="AC32" s="3541"/>
      <c r="AD32" s="3539" t="s">
        <v>3692</v>
      </c>
      <c r="AE32" s="3538"/>
      <c r="AF32" s="3539"/>
      <c r="AG32" s="3540">
        <f t="shared" si="1"/>
        <v>0</v>
      </c>
      <c r="AH32" s="3541"/>
      <c r="AI32" s="3539"/>
      <c r="AJ32" s="3538">
        <v>44279</v>
      </c>
      <c r="AK32" s="3539">
        <v>237682.53</v>
      </c>
      <c r="AL32" s="3540">
        <f t="shared" si="2"/>
        <v>218057.37</v>
      </c>
      <c r="AM32" s="3541"/>
      <c r="AN32" s="3542" t="s">
        <v>3693</v>
      </c>
      <c r="AO32" s="3538">
        <v>44307</v>
      </c>
      <c r="AP32" s="3540"/>
      <c r="AQ32" s="3540">
        <f t="shared" si="3"/>
        <v>0</v>
      </c>
      <c r="AR32" s="3540">
        <v>55863.360000000001</v>
      </c>
      <c r="AS32" s="3542"/>
      <c r="AT32" s="3538"/>
      <c r="AU32" s="3543"/>
      <c r="AV32" s="3540">
        <f t="shared" si="4"/>
        <v>0</v>
      </c>
      <c r="AW32" s="3539"/>
      <c r="AX32" s="3544"/>
      <c r="AY32" s="3538">
        <v>44372</v>
      </c>
      <c r="AZ32" s="3539">
        <v>237682.53</v>
      </c>
      <c r="BA32" s="3540">
        <f t="shared" si="5"/>
        <v>218057.37</v>
      </c>
      <c r="BB32" s="3539"/>
      <c r="BC32" s="3542" t="s">
        <v>3694</v>
      </c>
      <c r="BD32" s="3538">
        <v>44398</v>
      </c>
      <c r="BE32" s="3539"/>
      <c r="BF32" s="3540">
        <f t="shared" si="6"/>
        <v>0</v>
      </c>
      <c r="BG32" s="3539">
        <v>55863.360000000001</v>
      </c>
      <c r="BH32" s="3542"/>
      <c r="BI32" s="3538"/>
      <c r="BJ32" s="3539"/>
      <c r="BK32" s="3540">
        <f t="shared" si="7"/>
        <v>0</v>
      </c>
      <c r="BL32" s="3539"/>
      <c r="BM32" s="3542"/>
      <c r="BN32" s="3546">
        <v>44465</v>
      </c>
      <c r="BO32" s="3541">
        <v>237682.53</v>
      </c>
      <c r="BP32" s="3540">
        <f t="shared" si="8"/>
        <v>218057.37</v>
      </c>
      <c r="BQ32" s="3541"/>
      <c r="BR32" s="3542" t="s">
        <v>3695</v>
      </c>
      <c r="BS32" s="3545"/>
      <c r="BT32" s="3539"/>
      <c r="BU32" s="3540">
        <f t="shared" si="9"/>
        <v>0</v>
      </c>
      <c r="BV32" s="3539"/>
      <c r="BW32" s="3542"/>
      <c r="BX32" s="3546"/>
      <c r="BY32" s="3539"/>
      <c r="BZ32" s="3540">
        <f t="shared" si="10"/>
        <v>0</v>
      </c>
      <c r="CA32" s="3539"/>
      <c r="CB32" s="3539"/>
      <c r="CC32" s="3539"/>
      <c r="CD32" s="3539"/>
      <c r="CE32" s="3540">
        <f t="shared" si="11"/>
        <v>0</v>
      </c>
      <c r="CF32" s="3539"/>
      <c r="CG32" s="3542"/>
      <c r="CH32" s="3547">
        <f t="shared" si="12"/>
        <v>950730.12</v>
      </c>
    </row>
    <row r="33" spans="1:86" ht="15.75" customHeight="1">
      <c r="A33" s="3522">
        <v>29</v>
      </c>
      <c r="B33" s="3522">
        <v>1</v>
      </c>
      <c r="C33" s="3554">
        <v>1702</v>
      </c>
      <c r="D33" s="3555" t="s">
        <v>3696</v>
      </c>
      <c r="E33" s="3555" t="s">
        <v>3598</v>
      </c>
      <c r="F33" s="3556">
        <v>44439</v>
      </c>
      <c r="G33" s="3548" t="s">
        <v>3677</v>
      </c>
      <c r="H33" s="3557">
        <v>276.3</v>
      </c>
      <c r="I33" s="3528">
        <v>43984</v>
      </c>
      <c r="J33" s="3533">
        <v>44013</v>
      </c>
      <c r="K33" s="3533">
        <v>44742</v>
      </c>
      <c r="L33" s="3552" t="s">
        <v>3697</v>
      </c>
      <c r="M33" s="3549">
        <v>4.1500000000000004</v>
      </c>
      <c r="N33" s="3532">
        <v>34877</v>
      </c>
      <c r="O33" s="3533"/>
      <c r="P33" s="3531"/>
      <c r="Q33" s="3532"/>
      <c r="R33" s="3532">
        <v>767296</v>
      </c>
      <c r="S33" s="3550" t="s">
        <v>3593</v>
      </c>
      <c r="T33" s="3550"/>
      <c r="U33" s="3534">
        <f>ROUND(H33*33.6,2)*3</f>
        <v>27851.040000000001</v>
      </c>
      <c r="V33" s="3535">
        <v>104631</v>
      </c>
      <c r="W33" s="3536">
        <v>126061.89</v>
      </c>
      <c r="X33" s="3536">
        <v>252123.78</v>
      </c>
      <c r="Y33" s="3537">
        <v>209263</v>
      </c>
      <c r="Z33" s="3538"/>
      <c r="AA33" s="3539"/>
      <c r="AB33" s="3540">
        <f t="shared" si="0"/>
        <v>0</v>
      </c>
      <c r="AC33" s="3541"/>
      <c r="AD33" s="3539"/>
      <c r="AE33" s="3538">
        <v>44236</v>
      </c>
      <c r="AF33" s="3539">
        <v>104631</v>
      </c>
      <c r="AG33" s="3540">
        <f t="shared" si="1"/>
        <v>95991.74</v>
      </c>
      <c r="AH33" s="3541"/>
      <c r="AI33" s="3539" t="s">
        <v>3698</v>
      </c>
      <c r="AJ33" s="3538">
        <v>44270</v>
      </c>
      <c r="AK33" s="3539"/>
      <c r="AL33" s="3540">
        <f t="shared" si="2"/>
        <v>0</v>
      </c>
      <c r="AM33" s="3541">
        <v>27851.040000000001</v>
      </c>
      <c r="AN33" s="3542"/>
      <c r="AO33" s="3538">
        <v>44312</v>
      </c>
      <c r="AP33" s="3540">
        <v>104632</v>
      </c>
      <c r="AQ33" s="3540">
        <f t="shared" si="3"/>
        <v>95992.66</v>
      </c>
      <c r="AR33" s="3540"/>
      <c r="AS33" s="3542" t="s">
        <v>3699</v>
      </c>
      <c r="AT33" s="3538"/>
      <c r="AU33" s="3543"/>
      <c r="AV33" s="3540">
        <f t="shared" si="4"/>
        <v>0</v>
      </c>
      <c r="AW33" s="3539"/>
      <c r="AX33" s="3544"/>
      <c r="AY33" s="3538"/>
      <c r="AZ33" s="3539"/>
      <c r="BA33" s="3540">
        <f t="shared" si="5"/>
        <v>0</v>
      </c>
      <c r="BB33" s="3539"/>
      <c r="BC33" s="3542"/>
      <c r="BD33" s="3538"/>
      <c r="BE33" s="3539"/>
      <c r="BF33" s="3540">
        <f t="shared" si="6"/>
        <v>0</v>
      </c>
      <c r="BG33" s="3539"/>
      <c r="BH33" s="3542"/>
      <c r="BI33" s="3538"/>
      <c r="BJ33" s="3539"/>
      <c r="BK33" s="3540">
        <f t="shared" si="7"/>
        <v>0</v>
      </c>
      <c r="BL33" s="3539"/>
      <c r="BM33" s="3542"/>
      <c r="BN33" s="3546"/>
      <c r="BO33" s="3541"/>
      <c r="BP33" s="3540">
        <f t="shared" si="8"/>
        <v>0</v>
      </c>
      <c r="BQ33" s="3541"/>
      <c r="BR33" s="3542"/>
      <c r="BS33" s="3545"/>
      <c r="BT33" s="3539"/>
      <c r="BU33" s="3540">
        <f t="shared" si="9"/>
        <v>0</v>
      </c>
      <c r="BV33" s="3539"/>
      <c r="BW33" s="3542"/>
      <c r="BX33" s="3546"/>
      <c r="BY33" s="3539"/>
      <c r="BZ33" s="3540">
        <f t="shared" si="10"/>
        <v>0</v>
      </c>
      <c r="CA33" s="3539"/>
      <c r="CB33" s="3539"/>
      <c r="CC33" s="3539"/>
      <c r="CD33" s="3539"/>
      <c r="CE33" s="3540">
        <f t="shared" si="11"/>
        <v>0</v>
      </c>
      <c r="CF33" s="3539"/>
      <c r="CG33" s="3542"/>
      <c r="CH33" s="3547">
        <f t="shared" si="12"/>
        <v>209263</v>
      </c>
    </row>
    <row r="34" spans="1:86" ht="15.75" customHeight="1">
      <c r="A34" s="3522">
        <v>30</v>
      </c>
      <c r="B34" s="3522"/>
      <c r="C34" s="3523">
        <v>1702</v>
      </c>
      <c r="D34" s="3525" t="s">
        <v>3700</v>
      </c>
      <c r="E34" s="3525" t="s">
        <v>3638</v>
      </c>
      <c r="F34" s="3526">
        <v>44573</v>
      </c>
      <c r="G34" s="3548">
        <v>276.3</v>
      </c>
      <c r="H34" s="3548"/>
      <c r="I34" s="3528">
        <v>44445</v>
      </c>
      <c r="J34" s="3533">
        <v>44452</v>
      </c>
      <c r="K34" s="3533">
        <v>45181</v>
      </c>
      <c r="L34" s="3552" t="s">
        <v>3701</v>
      </c>
      <c r="M34" s="3549">
        <v>4.5</v>
      </c>
      <c r="N34" s="3532">
        <v>37819</v>
      </c>
      <c r="O34" s="3533"/>
      <c r="P34" s="3531"/>
      <c r="Q34" s="3532"/>
      <c r="R34" s="3532">
        <v>832020</v>
      </c>
      <c r="S34" s="3550" t="s">
        <v>3593</v>
      </c>
      <c r="T34" s="3550"/>
      <c r="U34" s="3534">
        <f t="shared" si="13"/>
        <v>27851.040000000001</v>
      </c>
      <c r="V34" s="3558">
        <v>113457</v>
      </c>
      <c r="W34" s="3536"/>
      <c r="X34" s="3536"/>
      <c r="Y34" s="3537"/>
      <c r="Z34" s="3538"/>
      <c r="AA34" s="3539"/>
      <c r="AB34" s="3540"/>
      <c r="AC34" s="3541"/>
      <c r="AD34" s="3539"/>
      <c r="AE34" s="3538"/>
      <c r="AF34" s="3539"/>
      <c r="AG34" s="3540"/>
      <c r="AH34" s="3541"/>
      <c r="AI34" s="3539"/>
      <c r="AJ34" s="3538"/>
      <c r="AK34" s="3539"/>
      <c r="AL34" s="3540"/>
      <c r="AM34" s="3541"/>
      <c r="AN34" s="3542"/>
      <c r="AO34" s="3538"/>
      <c r="AP34" s="3540"/>
      <c r="AQ34" s="3540"/>
      <c r="AR34" s="3540"/>
      <c r="AS34" s="3542"/>
      <c r="AT34" s="3538"/>
      <c r="AU34" s="3567"/>
      <c r="AV34" s="3540"/>
      <c r="AW34" s="3539"/>
      <c r="AX34" s="3544"/>
      <c r="AY34" s="3538"/>
      <c r="AZ34" s="3539"/>
      <c r="BA34" s="3540"/>
      <c r="BB34" s="3539"/>
      <c r="BC34" s="3542"/>
      <c r="BD34" s="3538"/>
      <c r="BE34" s="3539"/>
      <c r="BF34" s="3540"/>
      <c r="BG34" s="3539"/>
      <c r="BH34" s="3542"/>
      <c r="BI34" s="3538"/>
      <c r="BJ34" s="3539"/>
      <c r="BK34" s="3540"/>
      <c r="BL34" s="3539"/>
      <c r="BM34" s="3542"/>
      <c r="BN34" s="3546">
        <v>44454</v>
      </c>
      <c r="BO34" s="3541">
        <v>113458</v>
      </c>
      <c r="BP34" s="3540">
        <f t="shared" si="8"/>
        <v>104089.91</v>
      </c>
      <c r="BQ34" s="3541"/>
      <c r="BR34" s="3542" t="s">
        <v>3702</v>
      </c>
      <c r="BS34" s="3545"/>
      <c r="BT34" s="3539"/>
      <c r="BU34" s="3540">
        <f t="shared" si="9"/>
        <v>0</v>
      </c>
      <c r="BV34" s="3539"/>
      <c r="BW34" s="3542"/>
      <c r="BX34" s="3546"/>
      <c r="BY34" s="3539"/>
      <c r="BZ34" s="3540">
        <f t="shared" si="10"/>
        <v>0</v>
      </c>
      <c r="CA34" s="3539"/>
      <c r="CB34" s="3539"/>
      <c r="CC34" s="3539"/>
      <c r="CD34" s="3539"/>
      <c r="CE34" s="3540">
        <f t="shared" si="11"/>
        <v>0</v>
      </c>
      <c r="CF34" s="3539"/>
      <c r="CG34" s="3542"/>
      <c r="CH34" s="3547">
        <f t="shared" si="12"/>
        <v>113458</v>
      </c>
    </row>
    <row r="35" spans="1:86" ht="15.75" customHeight="1">
      <c r="A35" s="3522">
        <v>31</v>
      </c>
      <c r="B35" s="3522">
        <v>1</v>
      </c>
      <c r="C35" s="3523">
        <v>1703</v>
      </c>
      <c r="D35" s="3525" t="s">
        <v>3703</v>
      </c>
      <c r="E35" s="3525" t="s">
        <v>3585</v>
      </c>
      <c r="F35" s="3526">
        <v>44516</v>
      </c>
      <c r="G35" s="3548">
        <v>213.49</v>
      </c>
      <c r="H35" s="3527"/>
      <c r="I35" s="3528">
        <v>44091</v>
      </c>
      <c r="J35" s="3533">
        <v>44121</v>
      </c>
      <c r="K35" s="3533">
        <v>44850</v>
      </c>
      <c r="L35" s="3552" t="s">
        <v>3704</v>
      </c>
      <c r="M35" s="3549">
        <v>4.3</v>
      </c>
      <c r="N35" s="3532">
        <v>27923</v>
      </c>
      <c r="O35" s="3533"/>
      <c r="P35" s="3531"/>
      <c r="Q35" s="3532"/>
      <c r="R35" s="3532">
        <v>642230</v>
      </c>
      <c r="S35" s="3550" t="s">
        <v>3593</v>
      </c>
      <c r="T35" s="3550"/>
      <c r="U35" s="3534">
        <f t="shared" si="13"/>
        <v>21519.78</v>
      </c>
      <c r="V35" s="3535">
        <v>83769</v>
      </c>
      <c r="W35" s="3536">
        <v>95456.73</v>
      </c>
      <c r="X35" s="3536">
        <v>286561.09999999998</v>
      </c>
      <c r="Y35" s="3537">
        <v>83770</v>
      </c>
      <c r="Z35" s="3538"/>
      <c r="AA35" s="3539"/>
      <c r="AB35" s="3540">
        <f t="shared" si="0"/>
        <v>0</v>
      </c>
      <c r="AC35" s="3541"/>
      <c r="AD35" s="3539"/>
      <c r="AE35" s="3538">
        <v>44245</v>
      </c>
      <c r="AF35" s="3539">
        <v>83769</v>
      </c>
      <c r="AG35" s="3540">
        <f t="shared" si="1"/>
        <v>76852.289999999994</v>
      </c>
      <c r="AH35" s="3541"/>
      <c r="AI35" s="3539" t="s">
        <v>3705</v>
      </c>
      <c r="AJ35" s="3538">
        <v>44267</v>
      </c>
      <c r="AK35" s="3539"/>
      <c r="AL35" s="3540">
        <f t="shared" si="2"/>
        <v>0</v>
      </c>
      <c r="AM35" s="3541">
        <v>21519.79</v>
      </c>
      <c r="AN35" s="3542"/>
      <c r="AO35" s="3538"/>
      <c r="AP35" s="3540"/>
      <c r="AQ35" s="3540">
        <f t="shared" si="3"/>
        <v>0</v>
      </c>
      <c r="AR35" s="3540"/>
      <c r="AS35" s="3542"/>
      <c r="AT35" s="3538">
        <v>44329</v>
      </c>
      <c r="AU35" s="3539">
        <v>83769</v>
      </c>
      <c r="AV35" s="3540">
        <f t="shared" si="4"/>
        <v>76852.289999999994</v>
      </c>
      <c r="AW35" s="3539"/>
      <c r="AX35" s="3544" t="s">
        <v>3706</v>
      </c>
      <c r="AY35" s="3538">
        <v>44362</v>
      </c>
      <c r="AZ35" s="3539"/>
      <c r="BA35" s="3540">
        <f t="shared" si="5"/>
        <v>0</v>
      </c>
      <c r="BB35" s="3539">
        <v>21519.78</v>
      </c>
      <c r="BC35" s="3542"/>
      <c r="BD35" s="3538"/>
      <c r="BE35" s="3539"/>
      <c r="BF35" s="3540">
        <f t="shared" si="6"/>
        <v>0</v>
      </c>
      <c r="BG35" s="3539"/>
      <c r="BH35" s="3542"/>
      <c r="BI35" s="3538">
        <v>44424</v>
      </c>
      <c r="BJ35" s="3539">
        <v>83769</v>
      </c>
      <c r="BK35" s="3540">
        <f t="shared" si="7"/>
        <v>76852.289999999994</v>
      </c>
      <c r="BL35" s="3539"/>
      <c r="BM35" s="3542" t="s">
        <v>3707</v>
      </c>
      <c r="BN35" s="3546">
        <v>44453</v>
      </c>
      <c r="BO35" s="3541"/>
      <c r="BP35" s="3540">
        <f t="shared" si="8"/>
        <v>0</v>
      </c>
      <c r="BQ35" s="3541">
        <v>21519.8</v>
      </c>
      <c r="BR35" s="3542"/>
      <c r="BS35" s="3545"/>
      <c r="BT35" s="3539"/>
      <c r="BU35" s="3540">
        <f t="shared" si="9"/>
        <v>0</v>
      </c>
      <c r="BV35" s="3539"/>
      <c r="BW35" s="3542"/>
      <c r="BX35" s="3546"/>
      <c r="BY35" s="3539"/>
      <c r="BZ35" s="3540">
        <f t="shared" si="10"/>
        <v>0</v>
      </c>
      <c r="CA35" s="3539"/>
      <c r="CB35" s="3539"/>
      <c r="CC35" s="3539"/>
      <c r="CD35" s="3539"/>
      <c r="CE35" s="3540">
        <f t="shared" si="11"/>
        <v>0</v>
      </c>
      <c r="CF35" s="3539"/>
      <c r="CG35" s="3542"/>
      <c r="CH35" s="3547">
        <f t="shared" si="12"/>
        <v>251307</v>
      </c>
    </row>
    <row r="36" spans="1:86" ht="15.75" customHeight="1">
      <c r="A36" s="3522">
        <v>32</v>
      </c>
      <c r="B36" s="3522">
        <v>1</v>
      </c>
      <c r="C36" s="3523">
        <v>1704</v>
      </c>
      <c r="D36" s="3525" t="s">
        <v>3708</v>
      </c>
      <c r="E36" s="3525" t="s">
        <v>3585</v>
      </c>
      <c r="F36" s="3526">
        <v>44483</v>
      </c>
      <c r="G36" s="3548">
        <v>170.98</v>
      </c>
      <c r="H36" s="3527"/>
      <c r="I36" s="3528">
        <v>43746</v>
      </c>
      <c r="J36" s="3533">
        <v>43814</v>
      </c>
      <c r="K36" s="3533">
        <v>44544</v>
      </c>
      <c r="L36" s="3552" t="s">
        <v>3709</v>
      </c>
      <c r="M36" s="3549">
        <v>4.7</v>
      </c>
      <c r="N36" s="3532">
        <v>24443</v>
      </c>
      <c r="O36" s="3533"/>
      <c r="P36" s="3531"/>
      <c r="Q36" s="3532"/>
      <c r="R36" s="3532">
        <v>586634</v>
      </c>
      <c r="S36" s="3550" t="s">
        <v>3593</v>
      </c>
      <c r="T36" s="3550"/>
      <c r="U36" s="3534">
        <f t="shared" si="13"/>
        <v>17234.79</v>
      </c>
      <c r="V36" s="3535">
        <v>73329</v>
      </c>
      <c r="W36" s="3568"/>
      <c r="X36" s="3568">
        <v>73330</v>
      </c>
      <c r="Y36" s="3534">
        <v>195545</v>
      </c>
      <c r="Z36" s="3538">
        <v>44222</v>
      </c>
      <c r="AA36" s="3539">
        <v>24443</v>
      </c>
      <c r="AB36" s="3540">
        <f t="shared" si="0"/>
        <v>22424.77</v>
      </c>
      <c r="AC36" s="3541">
        <v>5744.92</v>
      </c>
      <c r="AD36" s="3539" t="s">
        <v>3710</v>
      </c>
      <c r="AE36" s="3538">
        <v>44238</v>
      </c>
      <c r="AF36" s="3539">
        <v>48886</v>
      </c>
      <c r="AG36" s="3540">
        <f t="shared" si="1"/>
        <v>44849.54</v>
      </c>
      <c r="AH36" s="3541">
        <f>254.17+11489.86</f>
        <v>11744.03</v>
      </c>
      <c r="AI36" s="3539" t="s">
        <v>3711</v>
      </c>
      <c r="AJ36" s="3538"/>
      <c r="AK36" s="3539"/>
      <c r="AL36" s="3540">
        <f t="shared" si="2"/>
        <v>0</v>
      </c>
      <c r="AM36" s="3541"/>
      <c r="AN36" s="3542"/>
      <c r="AO36" s="3538">
        <v>44300</v>
      </c>
      <c r="AP36" s="3540">
        <v>24443</v>
      </c>
      <c r="AQ36" s="3540">
        <f t="shared" si="3"/>
        <v>22424.77</v>
      </c>
      <c r="AR36" s="3540">
        <v>5744.92</v>
      </c>
      <c r="AS36" s="3542" t="s">
        <v>3712</v>
      </c>
      <c r="AT36" s="3538">
        <v>44317</v>
      </c>
      <c r="AU36" s="3539">
        <f>24443*2</f>
        <v>48886</v>
      </c>
      <c r="AV36" s="3540">
        <f t="shared" si="4"/>
        <v>44849.54</v>
      </c>
      <c r="AW36" s="3539">
        <v>11489.86</v>
      </c>
      <c r="AX36" s="3544" t="s">
        <v>3713</v>
      </c>
      <c r="AY36" s="3538"/>
      <c r="AZ36" s="3539"/>
      <c r="BA36" s="3540">
        <f t="shared" si="5"/>
        <v>0</v>
      </c>
      <c r="BB36" s="3539"/>
      <c r="BC36" s="3542"/>
      <c r="BD36" s="3538">
        <v>44391</v>
      </c>
      <c r="BE36" s="3539">
        <v>73329</v>
      </c>
      <c r="BF36" s="3540">
        <f t="shared" si="6"/>
        <v>67274.31</v>
      </c>
      <c r="BG36" s="3539">
        <v>17234.77</v>
      </c>
      <c r="BH36" s="3542" t="s">
        <v>3714</v>
      </c>
      <c r="BI36" s="3538"/>
      <c r="BJ36" s="3539"/>
      <c r="BK36" s="3540">
        <f t="shared" si="7"/>
        <v>0</v>
      </c>
      <c r="BL36" s="3539"/>
      <c r="BM36" s="3542"/>
      <c r="BN36" s="3546"/>
      <c r="BO36" s="3541"/>
      <c r="BP36" s="3540">
        <f t="shared" si="8"/>
        <v>0</v>
      </c>
      <c r="BQ36" s="3541"/>
      <c r="BR36" s="3542"/>
      <c r="BS36" s="3545"/>
      <c r="BT36" s="3539"/>
      <c r="BU36" s="3540">
        <f t="shared" si="9"/>
        <v>0</v>
      </c>
      <c r="BV36" s="3539"/>
      <c r="BW36" s="3542"/>
      <c r="BX36" s="3546"/>
      <c r="BY36" s="3539"/>
      <c r="BZ36" s="3540">
        <f t="shared" si="10"/>
        <v>0</v>
      </c>
      <c r="CA36" s="3539"/>
      <c r="CB36" s="3539"/>
      <c r="CC36" s="3539"/>
      <c r="CD36" s="3539"/>
      <c r="CE36" s="3540">
        <f t="shared" si="11"/>
        <v>0</v>
      </c>
      <c r="CF36" s="3539"/>
      <c r="CG36" s="3542"/>
      <c r="CH36" s="3547">
        <f t="shared" si="12"/>
        <v>219987</v>
      </c>
    </row>
    <row r="37" spans="1:86" ht="15.75" hidden="1" customHeight="1">
      <c r="A37" s="3522">
        <v>33</v>
      </c>
      <c r="B37" s="3522">
        <v>1</v>
      </c>
      <c r="C37" s="3523">
        <v>1705</v>
      </c>
      <c r="D37" s="3525" t="s">
        <v>3715</v>
      </c>
      <c r="E37" s="3525"/>
      <c r="F37" s="3526">
        <v>44545</v>
      </c>
      <c r="G37" s="3548">
        <v>245.47</v>
      </c>
      <c r="H37" s="3527"/>
      <c r="I37" s="3528">
        <v>44413</v>
      </c>
      <c r="J37" s="3533">
        <v>44424</v>
      </c>
      <c r="K37" s="3533">
        <v>45153</v>
      </c>
      <c r="L37" s="3552" t="s">
        <v>3716</v>
      </c>
      <c r="M37" s="3549">
        <v>4.4000000000000004</v>
      </c>
      <c r="N37" s="3532">
        <v>32852</v>
      </c>
      <c r="O37" s="3533"/>
      <c r="P37" s="3531"/>
      <c r="Q37" s="3532"/>
      <c r="R37" s="3532">
        <v>722746</v>
      </c>
      <c r="S37" s="3550" t="s">
        <v>3593</v>
      </c>
      <c r="T37" s="3550"/>
      <c r="U37" s="3534">
        <f t="shared" si="13"/>
        <v>24743.370000000003</v>
      </c>
      <c r="V37" s="3535">
        <v>98556</v>
      </c>
      <c r="W37" s="3568"/>
      <c r="X37" s="3568"/>
      <c r="Y37" s="3534"/>
      <c r="Z37" s="3538"/>
      <c r="AA37" s="3539"/>
      <c r="AB37" s="3540"/>
      <c r="AC37" s="3541"/>
      <c r="AD37" s="3539"/>
      <c r="AE37" s="3538"/>
      <c r="AF37" s="3539"/>
      <c r="AG37" s="3540"/>
      <c r="AH37" s="3541"/>
      <c r="AI37" s="3539"/>
      <c r="AJ37" s="3538"/>
      <c r="AK37" s="3539"/>
      <c r="AL37" s="3540"/>
      <c r="AM37" s="3541"/>
      <c r="AN37" s="3542"/>
      <c r="AO37" s="3538"/>
      <c r="AP37" s="3540"/>
      <c r="AQ37" s="3540"/>
      <c r="AR37" s="3540"/>
      <c r="AS37" s="3542"/>
      <c r="AT37" s="3538"/>
      <c r="AU37" s="3539"/>
      <c r="AV37" s="3540"/>
      <c r="AW37" s="3539"/>
      <c r="AX37" s="3544"/>
      <c r="AY37" s="3538"/>
      <c r="AZ37" s="3539"/>
      <c r="BA37" s="3540"/>
      <c r="BB37" s="3539"/>
      <c r="BC37" s="3542"/>
      <c r="BD37" s="3538"/>
      <c r="BE37" s="3539"/>
      <c r="BF37" s="3540"/>
      <c r="BG37" s="3539"/>
      <c r="BH37" s="3542"/>
      <c r="BI37" s="3538">
        <v>44412</v>
      </c>
      <c r="BJ37" s="3539">
        <v>98557</v>
      </c>
      <c r="BK37" s="3540">
        <f t="shared" si="7"/>
        <v>90419.27</v>
      </c>
      <c r="BL37" s="3539">
        <v>49486.74</v>
      </c>
      <c r="BM37" s="3542" t="s">
        <v>3717</v>
      </c>
      <c r="BN37" s="3546"/>
      <c r="BO37" s="3539"/>
      <c r="BP37" s="3540"/>
      <c r="BQ37" s="3541"/>
      <c r="BR37" s="3542"/>
      <c r="BS37" s="3545"/>
      <c r="BT37" s="3539"/>
      <c r="BU37" s="3540">
        <f t="shared" si="9"/>
        <v>0</v>
      </c>
      <c r="BV37" s="3539"/>
      <c r="BW37" s="3542"/>
      <c r="BX37" s="3546"/>
      <c r="BY37" s="3539"/>
      <c r="BZ37" s="3540">
        <f t="shared" si="10"/>
        <v>0</v>
      </c>
      <c r="CA37" s="3539"/>
      <c r="CB37" s="3539"/>
      <c r="CC37" s="3539"/>
      <c r="CD37" s="3539"/>
      <c r="CE37" s="3540">
        <f t="shared" si="11"/>
        <v>0</v>
      </c>
      <c r="CF37" s="3539"/>
      <c r="CG37" s="3542"/>
      <c r="CH37" s="3547">
        <f t="shared" si="12"/>
        <v>98557</v>
      </c>
    </row>
    <row r="38" spans="1:86" ht="15.75" hidden="1" customHeight="1">
      <c r="A38" s="3522">
        <v>34</v>
      </c>
      <c r="B38" s="3522">
        <v>1</v>
      </c>
      <c r="C38" s="3523">
        <v>1707</v>
      </c>
      <c r="D38" s="3525" t="s">
        <v>3718</v>
      </c>
      <c r="E38" s="3525" t="s">
        <v>3642</v>
      </c>
      <c r="F38" s="3526">
        <v>44500</v>
      </c>
      <c r="G38" s="3548">
        <v>232.13</v>
      </c>
      <c r="H38" s="3527"/>
      <c r="I38" s="3528">
        <v>44413</v>
      </c>
      <c r="J38" s="3533">
        <v>44440</v>
      </c>
      <c r="K38" s="3533">
        <v>45535</v>
      </c>
      <c r="L38" s="3552" t="s">
        <v>3719</v>
      </c>
      <c r="M38" s="3549">
        <v>4.2</v>
      </c>
      <c r="N38" s="3532">
        <v>29655</v>
      </c>
      <c r="O38" s="3533"/>
      <c r="P38" s="3531"/>
      <c r="Q38" s="3532"/>
      <c r="R38" s="3532">
        <v>978618</v>
      </c>
      <c r="S38" s="3550" t="s">
        <v>3593</v>
      </c>
      <c r="T38" s="3550"/>
      <c r="U38" s="3534">
        <f t="shared" si="13"/>
        <v>23398.71</v>
      </c>
      <c r="V38" s="3558">
        <v>88965</v>
      </c>
      <c r="W38" s="3568"/>
      <c r="X38" s="3568"/>
      <c r="Y38" s="3534"/>
      <c r="Z38" s="3538"/>
      <c r="AA38" s="3539"/>
      <c r="AB38" s="3540"/>
      <c r="AC38" s="3541"/>
      <c r="AD38" s="3539"/>
      <c r="AE38" s="3538"/>
      <c r="AF38" s="3539"/>
      <c r="AG38" s="3540"/>
      <c r="AH38" s="3541"/>
      <c r="AI38" s="3539"/>
      <c r="AJ38" s="3538"/>
      <c r="AK38" s="3539"/>
      <c r="AL38" s="3540"/>
      <c r="AM38" s="3541"/>
      <c r="AN38" s="3542"/>
      <c r="AO38" s="3538"/>
      <c r="AP38" s="3540"/>
      <c r="AQ38" s="3540"/>
      <c r="AR38" s="3540"/>
      <c r="AS38" s="3542"/>
      <c r="AT38" s="3538"/>
      <c r="AU38" s="3539"/>
      <c r="AV38" s="3540"/>
      <c r="AW38" s="3539"/>
      <c r="AX38" s="3544"/>
      <c r="AY38" s="3538"/>
      <c r="AZ38" s="3539"/>
      <c r="BA38" s="3540"/>
      <c r="BB38" s="3539"/>
      <c r="BC38" s="3542"/>
      <c r="BD38" s="3538"/>
      <c r="BE38" s="3539"/>
      <c r="BF38" s="3540"/>
      <c r="BG38" s="3539"/>
      <c r="BH38" s="3542"/>
      <c r="BI38" s="3538">
        <v>44434</v>
      </c>
      <c r="BJ38" s="3551">
        <v>29656</v>
      </c>
      <c r="BK38" s="3540"/>
      <c r="BL38" s="3539">
        <v>7799.57</v>
      </c>
      <c r="BM38" s="3542" t="s">
        <v>3720</v>
      </c>
      <c r="BN38" s="3546"/>
      <c r="BO38" s="3541"/>
      <c r="BP38" s="3540">
        <f t="shared" si="8"/>
        <v>0</v>
      </c>
      <c r="BQ38" s="3541"/>
      <c r="BR38" s="3542"/>
      <c r="BS38" s="3545"/>
      <c r="BT38" s="3539"/>
      <c r="BU38" s="3540">
        <f t="shared" si="9"/>
        <v>0</v>
      </c>
      <c r="BV38" s="3539"/>
      <c r="BW38" s="3542"/>
      <c r="BX38" s="3546"/>
      <c r="BY38" s="3539"/>
      <c r="BZ38" s="3540">
        <f t="shared" si="10"/>
        <v>0</v>
      </c>
      <c r="CA38" s="3539"/>
      <c r="CB38" s="3539"/>
      <c r="CC38" s="3539"/>
      <c r="CD38" s="3539"/>
      <c r="CE38" s="3540">
        <f t="shared" si="11"/>
        <v>0</v>
      </c>
      <c r="CF38" s="3539"/>
      <c r="CG38" s="3542"/>
      <c r="CH38" s="3547">
        <f t="shared" si="12"/>
        <v>29656</v>
      </c>
    </row>
    <row r="39" spans="1:86" ht="15.75" customHeight="1">
      <c r="A39" s="3522">
        <v>35</v>
      </c>
      <c r="B39" s="3522">
        <v>4</v>
      </c>
      <c r="C39" s="3523" t="s">
        <v>3721</v>
      </c>
      <c r="D39" s="3525" t="s">
        <v>3722</v>
      </c>
      <c r="E39" s="3525" t="s">
        <v>3585</v>
      </c>
      <c r="F39" s="3526">
        <v>44484</v>
      </c>
      <c r="G39" s="3548">
        <v>906.24</v>
      </c>
      <c r="H39" s="3527"/>
      <c r="I39" s="3528">
        <v>43811</v>
      </c>
      <c r="J39" s="3533">
        <v>43785</v>
      </c>
      <c r="K39" s="3533">
        <v>44515</v>
      </c>
      <c r="L39" s="3552" t="s">
        <v>3723</v>
      </c>
      <c r="M39" s="3549">
        <v>5</v>
      </c>
      <c r="N39" s="3532">
        <v>137824</v>
      </c>
      <c r="O39" s="3533"/>
      <c r="P39" s="3531"/>
      <c r="Q39" s="3532"/>
      <c r="R39" s="3532">
        <v>3032130</v>
      </c>
      <c r="S39" s="3550" t="s">
        <v>3593</v>
      </c>
      <c r="T39" s="3550"/>
      <c r="U39" s="3534">
        <f t="shared" si="13"/>
        <v>91348.98</v>
      </c>
      <c r="V39" s="3535">
        <v>413472</v>
      </c>
      <c r="W39" s="3536"/>
      <c r="X39" s="3536">
        <v>413473</v>
      </c>
      <c r="Y39" s="3537">
        <v>1653889</v>
      </c>
      <c r="Z39" s="3538"/>
      <c r="AA39" s="3539"/>
      <c r="AB39" s="3540">
        <f t="shared" si="0"/>
        <v>0</v>
      </c>
      <c r="AC39" s="3541"/>
      <c r="AD39" s="3539"/>
      <c r="AE39" s="3538">
        <v>44235</v>
      </c>
      <c r="AF39" s="3539"/>
      <c r="AG39" s="3540">
        <f t="shared" si="1"/>
        <v>0</v>
      </c>
      <c r="AH39" s="3541">
        <v>91348.99</v>
      </c>
      <c r="AI39" s="3539"/>
      <c r="AJ39" s="3538"/>
      <c r="AK39" s="3539"/>
      <c r="AL39" s="3540">
        <f t="shared" si="2"/>
        <v>0</v>
      </c>
      <c r="AM39" s="3541"/>
      <c r="AN39" s="3542"/>
      <c r="AO39" s="3538">
        <v>44298</v>
      </c>
      <c r="AP39" s="3540">
        <v>413472</v>
      </c>
      <c r="AQ39" s="3540">
        <f t="shared" si="3"/>
        <v>379332.11</v>
      </c>
      <c r="AR39" s="3540"/>
      <c r="AS39" s="3542" t="s">
        <v>3724</v>
      </c>
      <c r="AT39" s="3538">
        <v>44326</v>
      </c>
      <c r="AU39" s="3543"/>
      <c r="AV39" s="3540">
        <f t="shared" si="4"/>
        <v>0</v>
      </c>
      <c r="AW39" s="3539">
        <v>91348.99</v>
      </c>
      <c r="AX39" s="3544"/>
      <c r="AY39" s="3538"/>
      <c r="AZ39" s="3539"/>
      <c r="BA39" s="3540">
        <f t="shared" si="5"/>
        <v>0</v>
      </c>
      <c r="BB39" s="3539"/>
      <c r="BC39" s="3542"/>
      <c r="BD39" s="3538">
        <v>44391</v>
      </c>
      <c r="BE39" s="3539">
        <v>413472</v>
      </c>
      <c r="BF39" s="3540">
        <f t="shared" si="6"/>
        <v>379332.11</v>
      </c>
      <c r="BG39" s="3539"/>
      <c r="BH39" s="3542" t="s">
        <v>3725</v>
      </c>
      <c r="BI39" s="3538">
        <v>44420</v>
      </c>
      <c r="BJ39" s="3539"/>
      <c r="BK39" s="3540">
        <f t="shared" si="7"/>
        <v>0</v>
      </c>
      <c r="BL39" s="3539">
        <v>91348.99</v>
      </c>
      <c r="BM39" s="3542"/>
      <c r="BN39" s="3546"/>
      <c r="BO39" s="3541"/>
      <c r="BP39" s="3540">
        <f t="shared" si="8"/>
        <v>0</v>
      </c>
      <c r="BQ39" s="3541"/>
      <c r="BR39" s="3542"/>
      <c r="BS39" s="3545"/>
      <c r="BT39" s="3539"/>
      <c r="BU39" s="3540">
        <f t="shared" si="9"/>
        <v>0</v>
      </c>
      <c r="BV39" s="3539"/>
      <c r="BW39" s="3542"/>
      <c r="BX39" s="3546"/>
      <c r="BY39" s="3539"/>
      <c r="BZ39" s="3540">
        <f t="shared" si="10"/>
        <v>0</v>
      </c>
      <c r="CA39" s="3539"/>
      <c r="CB39" s="3539"/>
      <c r="CC39" s="3539"/>
      <c r="CD39" s="3539"/>
      <c r="CE39" s="3540">
        <f t="shared" si="11"/>
        <v>0</v>
      </c>
      <c r="CF39" s="3539"/>
      <c r="CG39" s="3542"/>
      <c r="CH39" s="3547">
        <f t="shared" si="12"/>
        <v>826944</v>
      </c>
    </row>
    <row r="40" spans="1:86" ht="15.75" customHeight="1">
      <c r="A40" s="3522">
        <v>36</v>
      </c>
      <c r="B40" s="3522">
        <v>1</v>
      </c>
      <c r="C40" s="3523">
        <v>1806</v>
      </c>
      <c r="D40" s="3525" t="s">
        <v>3726</v>
      </c>
      <c r="E40" s="3525" t="s">
        <v>3642</v>
      </c>
      <c r="F40" s="3526">
        <v>44575</v>
      </c>
      <c r="G40" s="3548">
        <v>322.08999999999997</v>
      </c>
      <c r="H40" s="3527"/>
      <c r="I40" s="3528">
        <v>44210</v>
      </c>
      <c r="J40" s="3533">
        <v>44211</v>
      </c>
      <c r="K40" s="3533">
        <v>44940</v>
      </c>
      <c r="L40" s="3552" t="s">
        <v>3727</v>
      </c>
      <c r="M40" s="3549">
        <v>4.9000000000000004</v>
      </c>
      <c r="N40" s="3532">
        <v>48005</v>
      </c>
      <c r="O40" s="3533"/>
      <c r="P40" s="3531"/>
      <c r="Q40" s="3532"/>
      <c r="R40" s="3532">
        <v>1008108</v>
      </c>
      <c r="S40" s="3550" t="s">
        <v>3593</v>
      </c>
      <c r="T40" s="3550"/>
      <c r="U40" s="3534">
        <f t="shared" si="13"/>
        <v>32466.659999999996</v>
      </c>
      <c r="V40" s="3535">
        <v>144015</v>
      </c>
      <c r="W40" s="3536"/>
      <c r="X40" s="3536"/>
      <c r="Y40" s="3537">
        <f>143427+286856</f>
        <v>430283</v>
      </c>
      <c r="Z40" s="3538">
        <v>44221</v>
      </c>
      <c r="AA40" s="3539">
        <v>144015</v>
      </c>
      <c r="AB40" s="3540">
        <f t="shared" si="0"/>
        <v>132123.85</v>
      </c>
      <c r="AC40" s="3541"/>
      <c r="AD40" s="3539" t="s">
        <v>3728</v>
      </c>
      <c r="AE40" s="3538"/>
      <c r="AF40" s="3539"/>
      <c r="AG40" s="3540">
        <f t="shared" si="1"/>
        <v>0</v>
      </c>
      <c r="AH40" s="3541"/>
      <c r="AI40" s="3539"/>
      <c r="AJ40" s="3538">
        <v>44286</v>
      </c>
      <c r="AK40" s="3539">
        <v>144015</v>
      </c>
      <c r="AL40" s="3540">
        <f t="shared" si="2"/>
        <v>132123.85</v>
      </c>
      <c r="AM40" s="3541"/>
      <c r="AN40" s="3542" t="s">
        <v>3729</v>
      </c>
      <c r="AO40" s="3538"/>
      <c r="AP40" s="3540"/>
      <c r="AQ40" s="3540">
        <f t="shared" si="3"/>
        <v>0</v>
      </c>
      <c r="AR40" s="3540"/>
      <c r="AS40" s="3542"/>
      <c r="AT40" s="3538"/>
      <c r="AU40" s="3543"/>
      <c r="AV40" s="3540">
        <f t="shared" si="4"/>
        <v>0</v>
      </c>
      <c r="AW40" s="3539"/>
      <c r="AX40" s="3544"/>
      <c r="AY40" s="3538"/>
      <c r="AZ40" s="3539"/>
      <c r="BA40" s="3540">
        <f t="shared" si="5"/>
        <v>0</v>
      </c>
      <c r="BB40" s="3539"/>
      <c r="BC40" s="3542"/>
      <c r="BD40" s="3538">
        <v>44399</v>
      </c>
      <c r="BE40" s="3539">
        <f>8064.84+144015</f>
        <v>152079.84</v>
      </c>
      <c r="BF40" s="3540">
        <f t="shared" si="6"/>
        <v>139522.79</v>
      </c>
      <c r="BG40" s="3539"/>
      <c r="BH40" s="3569" t="s">
        <v>3730</v>
      </c>
      <c r="BI40" s="3538"/>
      <c r="BJ40" s="3539"/>
      <c r="BK40" s="3540">
        <f t="shared" si="7"/>
        <v>0</v>
      </c>
      <c r="BL40" s="3539"/>
      <c r="BM40" s="3542"/>
      <c r="BN40" s="3546">
        <v>44463</v>
      </c>
      <c r="BO40" s="3541">
        <v>96011</v>
      </c>
      <c r="BP40" s="3540">
        <f t="shared" si="8"/>
        <v>88083.49</v>
      </c>
      <c r="BQ40" s="3541"/>
      <c r="BR40" s="3542" t="s">
        <v>3731</v>
      </c>
      <c r="BS40" s="3545"/>
      <c r="BT40" s="3539"/>
      <c r="BU40" s="3540">
        <f t="shared" si="9"/>
        <v>0</v>
      </c>
      <c r="BV40" s="3539"/>
      <c r="BW40" s="3542"/>
      <c r="BX40" s="3546"/>
      <c r="BY40" s="3539"/>
      <c r="BZ40" s="3540">
        <f t="shared" si="10"/>
        <v>0</v>
      </c>
      <c r="CA40" s="3539"/>
      <c r="CB40" s="3539"/>
      <c r="CC40" s="3539"/>
      <c r="CD40" s="3539"/>
      <c r="CE40" s="3540">
        <f t="shared" si="11"/>
        <v>0</v>
      </c>
      <c r="CF40" s="3539"/>
      <c r="CG40" s="3542"/>
      <c r="CH40" s="3547">
        <f t="shared" si="12"/>
        <v>536120.84</v>
      </c>
    </row>
    <row r="41" spans="1:86" ht="15.75" customHeight="1">
      <c r="A41" s="3522">
        <v>37</v>
      </c>
      <c r="B41" s="3522">
        <v>1</v>
      </c>
      <c r="C41" s="3554">
        <v>1807</v>
      </c>
      <c r="D41" s="3555" t="s">
        <v>3732</v>
      </c>
      <c r="E41" s="3555" t="s">
        <v>3598</v>
      </c>
      <c r="F41" s="3556">
        <v>44408</v>
      </c>
      <c r="G41" s="3548" t="s">
        <v>3677</v>
      </c>
      <c r="H41" s="3557">
        <v>232.13</v>
      </c>
      <c r="I41" s="3528">
        <v>43935</v>
      </c>
      <c r="J41" s="3533">
        <v>43983</v>
      </c>
      <c r="K41" s="3533">
        <v>45077</v>
      </c>
      <c r="L41" s="3552" t="s">
        <v>3733</v>
      </c>
      <c r="M41" s="3549">
        <v>5</v>
      </c>
      <c r="N41" s="3532">
        <v>35303</v>
      </c>
      <c r="O41" s="3533"/>
      <c r="P41" s="3531"/>
      <c r="Q41" s="3532"/>
      <c r="R41" s="3532">
        <v>1165002</v>
      </c>
      <c r="S41" s="3550" t="s">
        <v>3593</v>
      </c>
      <c r="T41" s="3550"/>
      <c r="U41" s="3534">
        <f>ROUND(H41*33.6,2)*3</f>
        <v>23398.71</v>
      </c>
      <c r="V41" s="3535">
        <v>105909</v>
      </c>
      <c r="W41" s="3536"/>
      <c r="X41" s="3536"/>
      <c r="Y41" s="3537">
        <v>211819</v>
      </c>
      <c r="Z41" s="3566" t="s">
        <v>3734</v>
      </c>
      <c r="AA41" s="3539">
        <v>105909</v>
      </c>
      <c r="AB41" s="3540">
        <f t="shared" si="0"/>
        <v>97164.22</v>
      </c>
      <c r="AC41" s="3541">
        <v>23398.7</v>
      </c>
      <c r="AD41" s="3539" t="s">
        <v>3634</v>
      </c>
      <c r="AE41" s="3538"/>
      <c r="AF41" s="3539"/>
      <c r="AG41" s="3540">
        <f t="shared" si="1"/>
        <v>0</v>
      </c>
      <c r="AH41" s="3541"/>
      <c r="AI41" s="3539"/>
      <c r="AJ41" s="3538"/>
      <c r="AK41" s="3539"/>
      <c r="AL41" s="3540">
        <f t="shared" si="2"/>
        <v>0</v>
      </c>
      <c r="AM41" s="3541"/>
      <c r="AN41" s="3542"/>
      <c r="AO41" s="3538">
        <v>44287</v>
      </c>
      <c r="AP41" s="3540">
        <v>105910</v>
      </c>
      <c r="AQ41" s="3540">
        <f t="shared" si="3"/>
        <v>97165.14</v>
      </c>
      <c r="AR41" s="3540">
        <v>23398.7</v>
      </c>
      <c r="AS41" s="3542" t="s">
        <v>3735</v>
      </c>
      <c r="AT41" s="3538"/>
      <c r="AU41" s="3543"/>
      <c r="AV41" s="3540">
        <f t="shared" si="4"/>
        <v>0</v>
      </c>
      <c r="AW41" s="3539"/>
      <c r="AX41" s="3544"/>
      <c r="AY41" s="3538"/>
      <c r="AZ41" s="3539"/>
      <c r="BA41" s="3540">
        <f t="shared" si="5"/>
        <v>0</v>
      </c>
      <c r="BB41" s="3539"/>
      <c r="BC41" s="3542"/>
      <c r="BD41" s="3538"/>
      <c r="BE41" s="3539"/>
      <c r="BF41" s="3540">
        <f t="shared" si="6"/>
        <v>0</v>
      </c>
      <c r="BG41" s="3539"/>
      <c r="BH41" s="3542"/>
      <c r="BI41" s="3538"/>
      <c r="BJ41" s="3539"/>
      <c r="BK41" s="3540">
        <f t="shared" si="7"/>
        <v>0</v>
      </c>
      <c r="BL41" s="3539"/>
      <c r="BM41" s="3542"/>
      <c r="BN41" s="3546"/>
      <c r="BO41" s="3541"/>
      <c r="BP41" s="3540">
        <f t="shared" si="8"/>
        <v>0</v>
      </c>
      <c r="BQ41" s="3541"/>
      <c r="BR41" s="3542"/>
      <c r="BS41" s="3545"/>
      <c r="BT41" s="3539"/>
      <c r="BU41" s="3540">
        <f t="shared" si="9"/>
        <v>0</v>
      </c>
      <c r="BV41" s="3539"/>
      <c r="BW41" s="3542"/>
      <c r="BX41" s="3546"/>
      <c r="BY41" s="3539"/>
      <c r="BZ41" s="3540">
        <f t="shared" si="10"/>
        <v>0</v>
      </c>
      <c r="CA41" s="3539"/>
      <c r="CB41" s="3539"/>
      <c r="CC41" s="3539"/>
      <c r="CD41" s="3539"/>
      <c r="CE41" s="3540">
        <f t="shared" si="11"/>
        <v>0</v>
      </c>
      <c r="CF41" s="3539"/>
      <c r="CG41" s="3542"/>
      <c r="CH41" s="3547">
        <f t="shared" si="12"/>
        <v>211819</v>
      </c>
    </row>
    <row r="42" spans="1:86" ht="15.75" customHeight="1">
      <c r="A42" s="3522">
        <v>38</v>
      </c>
      <c r="B42" s="3522">
        <v>3</v>
      </c>
      <c r="C42" s="3522" t="s">
        <v>3736</v>
      </c>
      <c r="D42" s="3525" t="s">
        <v>3737</v>
      </c>
      <c r="E42" s="3525" t="s">
        <v>3642</v>
      </c>
      <c r="F42" s="3526">
        <v>44530</v>
      </c>
      <c r="G42" s="3548">
        <v>786.33</v>
      </c>
      <c r="H42" s="3527"/>
      <c r="I42" s="3528">
        <v>44272</v>
      </c>
      <c r="J42" s="3533">
        <v>44287</v>
      </c>
      <c r="K42" s="3533">
        <v>45382</v>
      </c>
      <c r="L42" s="3552" t="s">
        <v>3738</v>
      </c>
      <c r="M42" s="3549">
        <v>3.4</v>
      </c>
      <c r="N42" s="3532">
        <v>81320</v>
      </c>
      <c r="O42" s="3533"/>
      <c r="P42" s="3531"/>
      <c r="Q42" s="3532"/>
      <c r="R42" s="3532">
        <v>2520925</v>
      </c>
      <c r="S42" s="3550" t="s">
        <v>3593</v>
      </c>
      <c r="T42" s="3550"/>
      <c r="U42" s="3534">
        <f t="shared" si="13"/>
        <v>79262.069999999992</v>
      </c>
      <c r="V42" s="3535">
        <v>243960</v>
      </c>
      <c r="W42" s="3536"/>
      <c r="X42" s="3536"/>
      <c r="Y42" s="3537"/>
      <c r="Z42" s="3538"/>
      <c r="AA42" s="3539"/>
      <c r="AB42" s="3540"/>
      <c r="AC42" s="3541"/>
      <c r="AD42" s="3539"/>
      <c r="AE42" s="3538"/>
      <c r="AF42" s="3539"/>
      <c r="AG42" s="3540"/>
      <c r="AH42" s="3541"/>
      <c r="AI42" s="3539"/>
      <c r="AJ42" s="3538">
        <v>44277</v>
      </c>
      <c r="AK42" s="3539">
        <v>243962</v>
      </c>
      <c r="AL42" s="3540">
        <f t="shared" si="2"/>
        <v>223818.35</v>
      </c>
      <c r="AM42" s="3541">
        <v>158524.12</v>
      </c>
      <c r="AN42" s="3542" t="s">
        <v>3739</v>
      </c>
      <c r="AO42" s="3538"/>
      <c r="AP42" s="3540"/>
      <c r="AQ42" s="3540">
        <f t="shared" si="3"/>
        <v>0</v>
      </c>
      <c r="AR42" s="3540"/>
      <c r="AS42" s="3542"/>
      <c r="AT42" s="3538"/>
      <c r="AU42" s="3543"/>
      <c r="AV42" s="3540">
        <f t="shared" si="4"/>
        <v>0</v>
      </c>
      <c r="AW42" s="3539"/>
      <c r="AX42" s="3544"/>
      <c r="AY42" s="3538"/>
      <c r="AZ42" s="3539"/>
      <c r="BA42" s="3540">
        <f t="shared" si="5"/>
        <v>0</v>
      </c>
      <c r="BB42" s="3539"/>
      <c r="BC42" s="3542"/>
      <c r="BD42" s="3538">
        <v>44390</v>
      </c>
      <c r="BE42" s="3539"/>
      <c r="BF42" s="3540">
        <f t="shared" si="6"/>
        <v>0</v>
      </c>
      <c r="BG42" s="3539">
        <f>4704+7000</f>
        <v>11704</v>
      </c>
      <c r="BH42" s="3542"/>
      <c r="BI42" s="3538"/>
      <c r="BJ42" s="3539"/>
      <c r="BK42" s="3540">
        <f t="shared" si="7"/>
        <v>0</v>
      </c>
      <c r="BL42" s="3539"/>
      <c r="BM42" s="3542"/>
      <c r="BN42" s="3546">
        <v>44440</v>
      </c>
      <c r="BO42" s="3541">
        <v>243960</v>
      </c>
      <c r="BP42" s="3540">
        <f t="shared" si="8"/>
        <v>223816.51</v>
      </c>
      <c r="BQ42" s="3541"/>
      <c r="BR42" s="3542" t="s">
        <v>3602</v>
      </c>
      <c r="BS42" s="3545"/>
      <c r="BT42" s="3539"/>
      <c r="BU42" s="3540">
        <f t="shared" si="9"/>
        <v>0</v>
      </c>
      <c r="BV42" s="3539"/>
      <c r="BW42" s="3542"/>
      <c r="BX42" s="3546"/>
      <c r="BY42" s="3539"/>
      <c r="BZ42" s="3540">
        <f t="shared" si="10"/>
        <v>0</v>
      </c>
      <c r="CA42" s="3539"/>
      <c r="CB42" s="3539"/>
      <c r="CC42" s="3539"/>
      <c r="CD42" s="3539"/>
      <c r="CE42" s="3540">
        <f t="shared" si="11"/>
        <v>0</v>
      </c>
      <c r="CF42" s="3539"/>
      <c r="CG42" s="3542"/>
      <c r="CH42" s="3547">
        <f t="shared" si="12"/>
        <v>487922</v>
      </c>
    </row>
    <row r="43" spans="1:86" ht="15.75" customHeight="1">
      <c r="A43" s="3522">
        <v>39</v>
      </c>
      <c r="B43" s="3522">
        <v>1</v>
      </c>
      <c r="C43" s="3522">
        <v>1902</v>
      </c>
      <c r="D43" s="3525" t="s">
        <v>3615</v>
      </c>
      <c r="E43" s="3525" t="s">
        <v>3642</v>
      </c>
      <c r="F43" s="3526">
        <v>44566</v>
      </c>
      <c r="G43" s="3548">
        <v>276.3</v>
      </c>
      <c r="H43" s="3527"/>
      <c r="I43" s="3528">
        <v>44411</v>
      </c>
      <c r="J43" s="3533">
        <v>44414</v>
      </c>
      <c r="K43" s="3533">
        <v>45143</v>
      </c>
      <c r="L43" s="3552" t="s">
        <v>3740</v>
      </c>
      <c r="M43" s="3549">
        <v>4.7</v>
      </c>
      <c r="N43" s="3532">
        <v>39499</v>
      </c>
      <c r="O43" s="3533"/>
      <c r="P43" s="3531"/>
      <c r="Q43" s="3532"/>
      <c r="R43" s="3532">
        <v>868980</v>
      </c>
      <c r="S43" s="3550" t="s">
        <v>3593</v>
      </c>
      <c r="T43" s="3550"/>
      <c r="U43" s="3534">
        <f t="shared" si="13"/>
        <v>27851.040000000001</v>
      </c>
      <c r="V43" s="3535">
        <v>118497</v>
      </c>
      <c r="W43" s="3536"/>
      <c r="X43" s="3536"/>
      <c r="Y43" s="3537"/>
      <c r="Z43" s="3538"/>
      <c r="AA43" s="3539"/>
      <c r="AB43" s="3540"/>
      <c r="AC43" s="3541"/>
      <c r="AD43" s="3539"/>
      <c r="AE43" s="3538"/>
      <c r="AF43" s="3539"/>
      <c r="AG43" s="3540"/>
      <c r="AH43" s="3541"/>
      <c r="AI43" s="3539"/>
      <c r="AJ43" s="3538"/>
      <c r="AK43" s="3539"/>
      <c r="AL43" s="3540"/>
      <c r="AM43" s="3541"/>
      <c r="AN43" s="3542"/>
      <c r="AO43" s="3538"/>
      <c r="AP43" s="3540"/>
      <c r="AQ43" s="3540"/>
      <c r="AR43" s="3540"/>
      <c r="AS43" s="3542"/>
      <c r="AT43" s="3538"/>
      <c r="AU43" s="3543"/>
      <c r="AV43" s="3540"/>
      <c r="AW43" s="3539"/>
      <c r="AX43" s="3544"/>
      <c r="AY43" s="3538"/>
      <c r="AZ43" s="3539"/>
      <c r="BA43" s="3540"/>
      <c r="BB43" s="3539"/>
      <c r="BC43" s="3542"/>
      <c r="BD43" s="3538"/>
      <c r="BE43" s="3539"/>
      <c r="BF43" s="3540"/>
      <c r="BG43" s="3539"/>
      <c r="BH43" s="3542"/>
      <c r="BI43" s="3538">
        <v>44412</v>
      </c>
      <c r="BJ43" s="3539">
        <v>118499</v>
      </c>
      <c r="BK43" s="3540">
        <f t="shared" si="7"/>
        <v>108714.68</v>
      </c>
      <c r="BL43" s="3539"/>
      <c r="BM43" s="3542" t="s">
        <v>3741</v>
      </c>
      <c r="BN43" s="3546"/>
      <c r="BO43" s="3541"/>
      <c r="BP43" s="3540">
        <f t="shared" si="8"/>
        <v>0</v>
      </c>
      <c r="BQ43" s="3541"/>
      <c r="BR43" s="3542"/>
      <c r="BS43" s="3545"/>
      <c r="BT43" s="3539"/>
      <c r="BU43" s="3540">
        <f t="shared" si="9"/>
        <v>0</v>
      </c>
      <c r="BV43" s="3539"/>
      <c r="BW43" s="3542"/>
      <c r="BX43" s="3546"/>
      <c r="BY43" s="3539"/>
      <c r="BZ43" s="3540">
        <f t="shared" si="10"/>
        <v>0</v>
      </c>
      <c r="CA43" s="3539"/>
      <c r="CB43" s="3539"/>
      <c r="CC43" s="3539"/>
      <c r="CD43" s="3539"/>
      <c r="CE43" s="3540">
        <f t="shared" si="11"/>
        <v>0</v>
      </c>
      <c r="CF43" s="3539"/>
      <c r="CG43" s="3542"/>
      <c r="CH43" s="3547">
        <f t="shared" si="12"/>
        <v>118499</v>
      </c>
    </row>
    <row r="44" spans="1:86" ht="15.75" customHeight="1">
      <c r="A44" s="3522">
        <v>40</v>
      </c>
      <c r="B44" s="3522">
        <v>1</v>
      </c>
      <c r="C44" s="3523">
        <v>1903</v>
      </c>
      <c r="D44" s="3525" t="s">
        <v>3742</v>
      </c>
      <c r="E44" s="3525" t="s">
        <v>3642</v>
      </c>
      <c r="F44" s="3526">
        <v>44511</v>
      </c>
      <c r="G44" s="3548">
        <v>213.49</v>
      </c>
      <c r="H44" s="3527"/>
      <c r="I44" s="3528">
        <v>44295</v>
      </c>
      <c r="J44" s="3533">
        <v>44298</v>
      </c>
      <c r="K44" s="3533">
        <v>45027</v>
      </c>
      <c r="L44" s="3552" t="s">
        <v>3743</v>
      </c>
      <c r="M44" s="3549">
        <v>4.3</v>
      </c>
      <c r="N44" s="3532">
        <v>27923</v>
      </c>
      <c r="O44" s="3533"/>
      <c r="P44" s="3531"/>
      <c r="Q44" s="3532"/>
      <c r="R44" s="3532">
        <v>614308</v>
      </c>
      <c r="S44" s="3550" t="s">
        <v>3593</v>
      </c>
      <c r="T44" s="3550"/>
      <c r="U44" s="3534">
        <f t="shared" si="13"/>
        <v>21519.78</v>
      </c>
      <c r="V44" s="3535">
        <v>83769</v>
      </c>
      <c r="W44" s="3536"/>
      <c r="X44" s="3536"/>
      <c r="Y44" s="3537"/>
      <c r="Z44" s="3538"/>
      <c r="AA44" s="3539"/>
      <c r="AB44" s="3540"/>
      <c r="AC44" s="3541"/>
      <c r="AD44" s="3539"/>
      <c r="AE44" s="3538"/>
      <c r="AF44" s="3539"/>
      <c r="AG44" s="3540"/>
      <c r="AH44" s="3541"/>
      <c r="AI44" s="3539"/>
      <c r="AJ44" s="3538"/>
      <c r="AK44" s="3539"/>
      <c r="AL44" s="3540"/>
      <c r="AM44" s="3541"/>
      <c r="AN44" s="3542"/>
      <c r="AO44" s="3538">
        <v>44295</v>
      </c>
      <c r="AP44" s="3540">
        <v>83770</v>
      </c>
      <c r="AQ44" s="3540">
        <f t="shared" si="3"/>
        <v>76853.210000000006</v>
      </c>
      <c r="AR44" s="3540">
        <f>43756.89+4269.8</f>
        <v>48026.69</v>
      </c>
      <c r="AS44" s="3542" t="s">
        <v>3744</v>
      </c>
      <c r="AT44" s="3538"/>
      <c r="AU44" s="3532"/>
      <c r="AV44" s="3540">
        <f t="shared" si="4"/>
        <v>0</v>
      </c>
      <c r="AW44" s="3539"/>
      <c r="AX44" s="3544"/>
      <c r="AY44" s="3538"/>
      <c r="AZ44" s="3539"/>
      <c r="BA44" s="3540">
        <f t="shared" si="5"/>
        <v>0</v>
      </c>
      <c r="BB44" s="3539"/>
      <c r="BC44" s="3542"/>
      <c r="BD44" s="3538">
        <v>44381</v>
      </c>
      <c r="BE44" s="3539"/>
      <c r="BF44" s="3540">
        <f t="shared" si="6"/>
        <v>0</v>
      </c>
      <c r="BG44" s="3539">
        <v>21519.79</v>
      </c>
      <c r="BH44" s="3542"/>
      <c r="BI44" s="3538">
        <v>44419</v>
      </c>
      <c r="BJ44" s="3539">
        <v>83769</v>
      </c>
      <c r="BK44" s="3540">
        <f t="shared" si="7"/>
        <v>76852.289999999994</v>
      </c>
      <c r="BL44" s="3539"/>
      <c r="BM44" s="3542" t="s">
        <v>3632</v>
      </c>
      <c r="BN44" s="3546"/>
      <c r="BO44" s="3541"/>
      <c r="BP44" s="3540">
        <f t="shared" si="8"/>
        <v>0</v>
      </c>
      <c r="BQ44" s="3541"/>
      <c r="BR44" s="3542"/>
      <c r="BS44" s="3545"/>
      <c r="BT44" s="3539"/>
      <c r="BU44" s="3540">
        <f t="shared" si="9"/>
        <v>0</v>
      </c>
      <c r="BV44" s="3539"/>
      <c r="BW44" s="3542"/>
      <c r="BX44" s="3546"/>
      <c r="BY44" s="3539"/>
      <c r="BZ44" s="3540">
        <f t="shared" si="10"/>
        <v>0</v>
      </c>
      <c r="CA44" s="3539"/>
      <c r="CB44" s="3539"/>
      <c r="CC44" s="3539"/>
      <c r="CD44" s="3539"/>
      <c r="CE44" s="3540">
        <f t="shared" si="11"/>
        <v>0</v>
      </c>
      <c r="CF44" s="3539"/>
      <c r="CG44" s="3542"/>
      <c r="CH44" s="3547">
        <f t="shared" si="12"/>
        <v>167539</v>
      </c>
    </row>
    <row r="45" spans="1:86" ht="15.75" customHeight="1">
      <c r="A45" s="3522">
        <v>41</v>
      </c>
      <c r="B45" s="3522">
        <v>2</v>
      </c>
      <c r="C45" s="3523" t="s">
        <v>3745</v>
      </c>
      <c r="D45" s="3525" t="s">
        <v>3746</v>
      </c>
      <c r="E45" s="3525" t="s">
        <v>3585</v>
      </c>
      <c r="F45" s="3526">
        <v>44497</v>
      </c>
      <c r="G45" s="3548">
        <v>416.45</v>
      </c>
      <c r="H45" s="3527"/>
      <c r="I45" s="3528">
        <v>44001</v>
      </c>
      <c r="J45" s="3533">
        <v>44072</v>
      </c>
      <c r="K45" s="3533">
        <v>45166</v>
      </c>
      <c r="L45" s="3552" t="s">
        <v>3747</v>
      </c>
      <c r="M45" s="3549">
        <v>4.5999999999999996</v>
      </c>
      <c r="N45" s="3532">
        <v>58268</v>
      </c>
      <c r="O45" s="3533"/>
      <c r="P45" s="3531"/>
      <c r="Q45" s="3532"/>
      <c r="R45" s="3532">
        <v>1981114</v>
      </c>
      <c r="S45" s="3550" t="s">
        <v>3593</v>
      </c>
      <c r="T45" s="3550"/>
      <c r="U45" s="3534">
        <f t="shared" si="13"/>
        <v>41978.159999999996</v>
      </c>
      <c r="V45" s="3535">
        <v>174804</v>
      </c>
      <c r="W45" s="3536"/>
      <c r="X45" s="3536"/>
      <c r="Y45" s="3537">
        <v>349609</v>
      </c>
      <c r="Z45" s="3538">
        <v>44223</v>
      </c>
      <c r="AA45" s="3539"/>
      <c r="AB45" s="3540">
        <f t="shared" si="0"/>
        <v>0</v>
      </c>
      <c r="AC45" s="3541">
        <v>41978.16</v>
      </c>
      <c r="AD45" s="3539"/>
      <c r="AE45" s="3538"/>
      <c r="AF45" s="3539"/>
      <c r="AG45" s="3540">
        <f t="shared" si="1"/>
        <v>0</v>
      </c>
      <c r="AH45" s="3541"/>
      <c r="AI45" s="3539"/>
      <c r="AJ45" s="3538">
        <v>44278</v>
      </c>
      <c r="AK45" s="3539">
        <v>174804</v>
      </c>
      <c r="AL45" s="3540">
        <f t="shared" si="2"/>
        <v>160370.64000000001</v>
      </c>
      <c r="AM45" s="3541"/>
      <c r="AN45" s="3542" t="s">
        <v>3748</v>
      </c>
      <c r="AO45" s="3538">
        <v>44312</v>
      </c>
      <c r="AP45" s="3540"/>
      <c r="AQ45" s="3540">
        <f t="shared" si="3"/>
        <v>0</v>
      </c>
      <c r="AR45" s="3540">
        <v>41978.16</v>
      </c>
      <c r="AS45" s="3542"/>
      <c r="AT45" s="3538"/>
      <c r="AU45" s="3532"/>
      <c r="AV45" s="3540">
        <f t="shared" si="4"/>
        <v>0</v>
      </c>
      <c r="AW45" s="3539"/>
      <c r="AX45" s="3544"/>
      <c r="AY45" s="3538">
        <v>44371</v>
      </c>
      <c r="AZ45" s="3539">
        <v>174805</v>
      </c>
      <c r="BA45" s="3540">
        <f t="shared" si="5"/>
        <v>160371.56</v>
      </c>
      <c r="BB45" s="3539"/>
      <c r="BC45" s="3542" t="s">
        <v>3749</v>
      </c>
      <c r="BD45" s="3538">
        <v>44404</v>
      </c>
      <c r="BE45" s="3539"/>
      <c r="BF45" s="3540">
        <f t="shared" si="6"/>
        <v>0</v>
      </c>
      <c r="BG45" s="3539">
        <v>41978.16</v>
      </c>
      <c r="BH45" s="3542"/>
      <c r="BI45" s="3538"/>
      <c r="BJ45" s="3539"/>
      <c r="BK45" s="3540">
        <f t="shared" si="7"/>
        <v>0</v>
      </c>
      <c r="BL45" s="3539"/>
      <c r="BM45" s="3542"/>
      <c r="BN45" s="3546"/>
      <c r="BO45" s="3541"/>
      <c r="BP45" s="3540">
        <f t="shared" si="8"/>
        <v>0</v>
      </c>
      <c r="BQ45" s="3541"/>
      <c r="BR45" s="3542"/>
      <c r="BS45" s="3545"/>
      <c r="BT45" s="3539"/>
      <c r="BU45" s="3540">
        <f t="shared" si="9"/>
        <v>0</v>
      </c>
      <c r="BV45" s="3539"/>
      <c r="BW45" s="3542"/>
      <c r="BX45" s="3546"/>
      <c r="BY45" s="3539"/>
      <c r="BZ45" s="3540">
        <f t="shared" si="10"/>
        <v>0</v>
      </c>
      <c r="CA45" s="3539"/>
      <c r="CB45" s="3539"/>
      <c r="CC45" s="3539"/>
      <c r="CD45" s="3539"/>
      <c r="CE45" s="3540">
        <f t="shared" si="11"/>
        <v>0</v>
      </c>
      <c r="CF45" s="3539"/>
      <c r="CG45" s="3542"/>
      <c r="CH45" s="3547">
        <f t="shared" si="12"/>
        <v>349609</v>
      </c>
    </row>
    <row r="46" spans="1:86" ht="15.75" customHeight="1">
      <c r="A46" s="3522">
        <v>42</v>
      </c>
      <c r="B46" s="3522">
        <v>8</v>
      </c>
      <c r="C46" s="3523" t="s">
        <v>3750</v>
      </c>
      <c r="D46" s="3525" t="s">
        <v>3751</v>
      </c>
      <c r="E46" s="3525" t="s">
        <v>3585</v>
      </c>
      <c r="F46" s="3526">
        <v>44519</v>
      </c>
      <c r="G46" s="3548">
        <v>2014.66</v>
      </c>
      <c r="H46" s="3527"/>
      <c r="I46" s="3528">
        <v>43776</v>
      </c>
      <c r="J46" s="3533">
        <v>43850</v>
      </c>
      <c r="K46" s="3533">
        <v>44945</v>
      </c>
      <c r="L46" s="3552" t="s">
        <v>3752</v>
      </c>
      <c r="M46" s="3549">
        <v>5.0999999999999996</v>
      </c>
      <c r="N46" s="3532">
        <v>312524</v>
      </c>
      <c r="O46" s="3533"/>
      <c r="P46" s="3531"/>
      <c r="Q46" s="3532"/>
      <c r="R46" s="3532">
        <v>9063203</v>
      </c>
      <c r="S46" s="3550" t="s">
        <v>3593</v>
      </c>
      <c r="T46" s="3550"/>
      <c r="U46" s="3534">
        <f t="shared" si="13"/>
        <v>203077.74</v>
      </c>
      <c r="V46" s="3535">
        <v>937572</v>
      </c>
      <c r="W46" s="3536"/>
      <c r="X46" s="3536">
        <v>937574</v>
      </c>
      <c r="Y46" s="3537">
        <v>2812718</v>
      </c>
      <c r="Z46" s="3538"/>
      <c r="AA46" s="3539"/>
      <c r="AB46" s="3540">
        <f t="shared" si="0"/>
        <v>0</v>
      </c>
      <c r="AC46" s="3541"/>
      <c r="AD46" s="3539"/>
      <c r="AE46" s="3538">
        <v>44232</v>
      </c>
      <c r="AF46" s="3539"/>
      <c r="AG46" s="3540">
        <f t="shared" si="1"/>
        <v>0</v>
      </c>
      <c r="AH46" s="3541">
        <v>203077.73</v>
      </c>
      <c r="AI46" s="3539"/>
      <c r="AJ46" s="3538"/>
      <c r="AK46" s="3539"/>
      <c r="AL46" s="3540">
        <f t="shared" si="2"/>
        <v>0</v>
      </c>
      <c r="AM46" s="3541"/>
      <c r="AN46" s="3542"/>
      <c r="AO46" s="3545"/>
      <c r="AP46" s="3540"/>
      <c r="AQ46" s="3540">
        <f t="shared" si="3"/>
        <v>0</v>
      </c>
      <c r="AR46" s="3540"/>
      <c r="AS46" s="3542"/>
      <c r="AT46" s="3538">
        <v>44334</v>
      </c>
      <c r="AU46" s="3532">
        <v>937572</v>
      </c>
      <c r="AV46" s="3540">
        <f t="shared" si="4"/>
        <v>860157.8</v>
      </c>
      <c r="AW46" s="3539">
        <v>203077.73</v>
      </c>
      <c r="AX46" s="3544" t="s">
        <v>3595</v>
      </c>
      <c r="AY46" s="3538"/>
      <c r="AZ46" s="3539"/>
      <c r="BA46" s="3540">
        <f t="shared" si="5"/>
        <v>0</v>
      </c>
      <c r="BB46" s="3539"/>
      <c r="BC46" s="3542"/>
      <c r="BD46" s="3538"/>
      <c r="BE46" s="3539"/>
      <c r="BF46" s="3540">
        <f t="shared" si="6"/>
        <v>0</v>
      </c>
      <c r="BG46" s="3539"/>
      <c r="BH46" s="3542"/>
      <c r="BI46" s="3538">
        <v>44427</v>
      </c>
      <c r="BJ46" s="3539">
        <v>937572</v>
      </c>
      <c r="BK46" s="3540">
        <f t="shared" si="7"/>
        <v>860157.8</v>
      </c>
      <c r="BL46" s="3539">
        <v>203077.73</v>
      </c>
      <c r="BM46" s="3542" t="s">
        <v>3596</v>
      </c>
      <c r="BN46" s="3546"/>
      <c r="BO46" s="3541"/>
      <c r="BP46" s="3540">
        <f t="shared" si="8"/>
        <v>0</v>
      </c>
      <c r="BQ46" s="3541"/>
      <c r="BR46" s="3542"/>
      <c r="BS46" s="3545"/>
      <c r="BT46" s="3539"/>
      <c r="BU46" s="3540">
        <f t="shared" si="9"/>
        <v>0</v>
      </c>
      <c r="BV46" s="3539"/>
      <c r="BW46" s="3542"/>
      <c r="BX46" s="3546"/>
      <c r="BY46" s="3539"/>
      <c r="BZ46" s="3540">
        <f t="shared" si="10"/>
        <v>0</v>
      </c>
      <c r="CA46" s="3539"/>
      <c r="CB46" s="3539"/>
      <c r="CC46" s="3539"/>
      <c r="CD46" s="3539"/>
      <c r="CE46" s="3540">
        <f t="shared" si="11"/>
        <v>0</v>
      </c>
      <c r="CF46" s="3539"/>
      <c r="CG46" s="3542"/>
      <c r="CH46" s="3547">
        <f t="shared" si="12"/>
        <v>1875144</v>
      </c>
    </row>
    <row r="47" spans="1:86" ht="15.75" customHeight="1">
      <c r="A47" s="3522">
        <v>43</v>
      </c>
      <c r="B47" s="3522">
        <v>3</v>
      </c>
      <c r="C47" s="3523" t="s">
        <v>3753</v>
      </c>
      <c r="D47" s="3525" t="s">
        <v>3754</v>
      </c>
      <c r="E47" s="3525" t="s">
        <v>3585</v>
      </c>
      <c r="F47" s="3526">
        <v>44509</v>
      </c>
      <c r="G47" s="3548">
        <v>660.77</v>
      </c>
      <c r="H47" s="3527"/>
      <c r="I47" s="3528">
        <v>44166</v>
      </c>
      <c r="J47" s="3533">
        <v>44175</v>
      </c>
      <c r="K47" s="3533">
        <v>44904</v>
      </c>
      <c r="L47" s="3552" t="s">
        <v>3755</v>
      </c>
      <c r="M47" s="3549">
        <v>4.4000000000000004</v>
      </c>
      <c r="N47" s="3532">
        <v>88433</v>
      </c>
      <c r="O47" s="3533"/>
      <c r="P47" s="3531"/>
      <c r="Q47" s="3532"/>
      <c r="R47" s="3532">
        <v>1768664</v>
      </c>
      <c r="S47" s="3550" t="s">
        <v>3593</v>
      </c>
      <c r="T47" s="3550"/>
      <c r="U47" s="3534">
        <f t="shared" si="13"/>
        <v>66605.61</v>
      </c>
      <c r="V47" s="3535">
        <v>265299</v>
      </c>
      <c r="W47" s="3536"/>
      <c r="X47" s="3536"/>
      <c r="Y47" s="3537">
        <v>265301</v>
      </c>
      <c r="Z47" s="3538"/>
      <c r="AA47" s="3539"/>
      <c r="AB47" s="3540">
        <f t="shared" si="0"/>
        <v>0</v>
      </c>
      <c r="AC47" s="3541"/>
      <c r="AD47" s="3539"/>
      <c r="AE47" s="3538"/>
      <c r="AF47" s="3539"/>
      <c r="AG47" s="3540">
        <f t="shared" si="1"/>
        <v>0</v>
      </c>
      <c r="AH47" s="3541"/>
      <c r="AI47" s="3539"/>
      <c r="AJ47" s="3538">
        <v>44260</v>
      </c>
      <c r="AK47" s="3539"/>
      <c r="AL47" s="3540">
        <f t="shared" si="2"/>
        <v>0</v>
      </c>
      <c r="AM47" s="3541">
        <v>66605.62</v>
      </c>
      <c r="AN47" s="3542"/>
      <c r="AO47" s="3538">
        <v>44309</v>
      </c>
      <c r="AP47" s="3540">
        <v>265299</v>
      </c>
      <c r="AQ47" s="3540">
        <f t="shared" si="3"/>
        <v>243393.58</v>
      </c>
      <c r="AR47" s="3540"/>
      <c r="AS47" s="3542" t="s">
        <v>3756</v>
      </c>
      <c r="AT47" s="3538"/>
      <c r="AU47" s="3532"/>
      <c r="AV47" s="3540">
        <f t="shared" si="4"/>
        <v>0</v>
      </c>
      <c r="AW47" s="3539"/>
      <c r="AX47" s="3544"/>
      <c r="AY47" s="3538">
        <v>44355</v>
      </c>
      <c r="AZ47" s="3539"/>
      <c r="BA47" s="3540">
        <f t="shared" si="5"/>
        <v>0</v>
      </c>
      <c r="BB47" s="3539">
        <v>66605.62</v>
      </c>
      <c r="BC47" s="3542"/>
      <c r="BD47" s="3538"/>
      <c r="BE47" s="3539"/>
      <c r="BF47" s="3540">
        <f t="shared" si="6"/>
        <v>0</v>
      </c>
      <c r="BG47" s="3539"/>
      <c r="BH47" s="3542"/>
      <c r="BI47" s="3538">
        <v>44414</v>
      </c>
      <c r="BJ47" s="3539">
        <v>265299</v>
      </c>
      <c r="BK47" s="3540">
        <f t="shared" si="7"/>
        <v>243393.58</v>
      </c>
      <c r="BL47" s="3539"/>
      <c r="BM47" s="3542" t="s">
        <v>3757</v>
      </c>
      <c r="BN47" s="3546"/>
      <c r="BO47" s="3541"/>
      <c r="BP47" s="3540">
        <f t="shared" si="8"/>
        <v>0</v>
      </c>
      <c r="BQ47" s="3541"/>
      <c r="BR47" s="3542"/>
      <c r="BS47" s="3545"/>
      <c r="BT47" s="3539"/>
      <c r="BU47" s="3540">
        <f t="shared" si="9"/>
        <v>0</v>
      </c>
      <c r="BV47" s="3539"/>
      <c r="BW47" s="3542"/>
      <c r="BX47" s="3546"/>
      <c r="BY47" s="3539"/>
      <c r="BZ47" s="3540">
        <f t="shared" si="10"/>
        <v>0</v>
      </c>
      <c r="CA47" s="3539"/>
      <c r="CB47" s="3539"/>
      <c r="CC47" s="3539"/>
      <c r="CD47" s="3539"/>
      <c r="CE47" s="3540">
        <f t="shared" si="11"/>
        <v>0</v>
      </c>
      <c r="CF47" s="3539"/>
      <c r="CG47" s="3542"/>
      <c r="CH47" s="3547">
        <f t="shared" si="12"/>
        <v>530598</v>
      </c>
    </row>
    <row r="48" spans="1:86" ht="15.75" customHeight="1">
      <c r="A48" s="3522">
        <v>44</v>
      </c>
      <c r="B48" s="3522">
        <v>2</v>
      </c>
      <c r="C48" s="3523" t="s">
        <v>3758</v>
      </c>
      <c r="D48" s="3525" t="s">
        <v>3759</v>
      </c>
      <c r="E48" s="3525" t="s">
        <v>3585</v>
      </c>
      <c r="F48" s="3526">
        <v>44514</v>
      </c>
      <c r="G48" s="3548">
        <v>625.75</v>
      </c>
      <c r="H48" s="3527"/>
      <c r="I48" s="3528">
        <v>44264</v>
      </c>
      <c r="J48" s="3533">
        <v>44270</v>
      </c>
      <c r="K48" s="3533">
        <v>45365</v>
      </c>
      <c r="L48" s="3552" t="s">
        <v>3760</v>
      </c>
      <c r="M48" s="3549">
        <v>4.2</v>
      </c>
      <c r="N48" s="3532">
        <v>79940</v>
      </c>
      <c r="O48" s="3533"/>
      <c r="P48" s="3531"/>
      <c r="Q48" s="3532"/>
      <c r="R48" s="3532">
        <v>2478145</v>
      </c>
      <c r="S48" s="3550" t="s">
        <v>3593</v>
      </c>
      <c r="T48" s="3550"/>
      <c r="U48" s="3534">
        <f t="shared" si="13"/>
        <v>63075.600000000006</v>
      </c>
      <c r="V48" s="3535">
        <v>239820</v>
      </c>
      <c r="W48" s="3536"/>
      <c r="X48" s="3536"/>
      <c r="Y48" s="3537"/>
      <c r="Z48" s="3538"/>
      <c r="AA48" s="3539"/>
      <c r="AB48" s="3540"/>
      <c r="AC48" s="3541"/>
      <c r="AD48" s="3539"/>
      <c r="AE48" s="3538"/>
      <c r="AF48" s="3539"/>
      <c r="AG48" s="3540"/>
      <c r="AH48" s="3541"/>
      <c r="AI48" s="3539"/>
      <c r="AJ48" s="3538">
        <v>44264</v>
      </c>
      <c r="AK48" s="3539">
        <v>239822</v>
      </c>
      <c r="AL48" s="3540">
        <f t="shared" si="2"/>
        <v>220020.18</v>
      </c>
      <c r="AM48" s="3541">
        <v>126151.2</v>
      </c>
      <c r="AN48" s="3542" t="s">
        <v>3761</v>
      </c>
      <c r="AO48" s="3538"/>
      <c r="AP48" s="3540"/>
      <c r="AQ48" s="3540">
        <f t="shared" si="3"/>
        <v>0</v>
      </c>
      <c r="AR48" s="3540"/>
      <c r="AS48" s="3542"/>
      <c r="AT48" s="3538"/>
      <c r="AU48" s="3532"/>
      <c r="AV48" s="3540"/>
      <c r="AW48" s="3539"/>
      <c r="AX48" s="3544"/>
      <c r="AY48" s="3538">
        <v>44365</v>
      </c>
      <c r="AZ48" s="3539"/>
      <c r="BA48" s="3540">
        <f t="shared" si="5"/>
        <v>0</v>
      </c>
      <c r="BB48" s="3539">
        <f>23398.71+39676.89</f>
        <v>63075.6</v>
      </c>
      <c r="BC48" s="3542"/>
      <c r="BD48" s="3538"/>
      <c r="BE48" s="3539"/>
      <c r="BF48" s="3540">
        <f t="shared" si="6"/>
        <v>0</v>
      </c>
      <c r="BG48" s="3539"/>
      <c r="BH48" s="3542"/>
      <c r="BI48" s="3538">
        <v>44421</v>
      </c>
      <c r="BJ48" s="3539">
        <v>239820</v>
      </c>
      <c r="BK48" s="3540">
        <f t="shared" si="7"/>
        <v>220018.35</v>
      </c>
      <c r="BL48" s="3539"/>
      <c r="BM48" s="3542" t="s">
        <v>3762</v>
      </c>
      <c r="BN48" s="3546">
        <v>44453</v>
      </c>
      <c r="BO48" s="3541"/>
      <c r="BP48" s="3540">
        <f t="shared" si="8"/>
        <v>0</v>
      </c>
      <c r="BQ48" s="3541">
        <v>63075.600000000006</v>
      </c>
      <c r="BR48" s="3542"/>
      <c r="BS48" s="3545"/>
      <c r="BT48" s="3539"/>
      <c r="BU48" s="3540">
        <f t="shared" si="9"/>
        <v>0</v>
      </c>
      <c r="BV48" s="3539"/>
      <c r="BW48" s="3542"/>
      <c r="BX48" s="3546"/>
      <c r="BY48" s="3539"/>
      <c r="BZ48" s="3540">
        <f t="shared" si="10"/>
        <v>0</v>
      </c>
      <c r="CA48" s="3539"/>
      <c r="CB48" s="3539"/>
      <c r="CC48" s="3539"/>
      <c r="CD48" s="3539"/>
      <c r="CE48" s="3540">
        <f t="shared" si="11"/>
        <v>0</v>
      </c>
      <c r="CF48" s="3539"/>
      <c r="CG48" s="3542"/>
      <c r="CH48" s="3547">
        <f t="shared" si="12"/>
        <v>479642</v>
      </c>
    </row>
    <row r="49" spans="1:86" ht="15.75" customHeight="1">
      <c r="A49" s="3522">
        <v>45</v>
      </c>
      <c r="B49" s="3522">
        <v>1</v>
      </c>
      <c r="C49" s="3523" t="s">
        <v>3763</v>
      </c>
      <c r="D49" s="3525" t="s">
        <v>3764</v>
      </c>
      <c r="E49" s="3525" t="s">
        <v>3598</v>
      </c>
      <c r="F49" s="3526">
        <v>44514</v>
      </c>
      <c r="G49" s="3548">
        <v>160.58000000000001</v>
      </c>
      <c r="H49" s="3527"/>
      <c r="I49" s="3528">
        <v>44264</v>
      </c>
      <c r="J49" s="3533">
        <v>44270</v>
      </c>
      <c r="K49" s="3533">
        <v>45365</v>
      </c>
      <c r="L49" s="3552" t="s">
        <v>3760</v>
      </c>
      <c r="M49" s="3549">
        <v>4.2</v>
      </c>
      <c r="N49" s="3532">
        <v>20514</v>
      </c>
      <c r="O49" s="3533"/>
      <c r="P49" s="3531"/>
      <c r="Q49" s="3532"/>
      <c r="R49" s="3532">
        <v>635939</v>
      </c>
      <c r="S49" s="3550" t="s">
        <v>3593</v>
      </c>
      <c r="T49" s="3550"/>
      <c r="U49" s="3534">
        <f t="shared" si="13"/>
        <v>16186.47</v>
      </c>
      <c r="V49" s="3535">
        <v>61542</v>
      </c>
      <c r="W49" s="3536"/>
      <c r="X49" s="3536"/>
      <c r="Y49" s="3537"/>
      <c r="Z49" s="3538"/>
      <c r="AA49" s="3539"/>
      <c r="AB49" s="3540"/>
      <c r="AC49" s="3541"/>
      <c r="AD49" s="3539"/>
      <c r="AE49" s="3538"/>
      <c r="AF49" s="3539"/>
      <c r="AG49" s="3540"/>
      <c r="AH49" s="3541"/>
      <c r="AI49" s="3539"/>
      <c r="AJ49" s="3538">
        <v>44264</v>
      </c>
      <c r="AK49" s="3539">
        <v>61544</v>
      </c>
      <c r="AL49" s="3540">
        <f t="shared" si="2"/>
        <v>56462.39</v>
      </c>
      <c r="AM49" s="3541">
        <v>32372.92</v>
      </c>
      <c r="AN49" s="3542" t="s">
        <v>3761</v>
      </c>
      <c r="AO49" s="3538"/>
      <c r="AP49" s="3540"/>
      <c r="AQ49" s="3540">
        <f t="shared" si="3"/>
        <v>0</v>
      </c>
      <c r="AR49" s="3540"/>
      <c r="AS49" s="3542"/>
      <c r="AT49" s="3538"/>
      <c r="AU49" s="3532"/>
      <c r="AV49" s="3540"/>
      <c r="AW49" s="3539"/>
      <c r="AX49" s="3544"/>
      <c r="AY49" s="3538">
        <v>44358</v>
      </c>
      <c r="AZ49" s="3539"/>
      <c r="BA49" s="3540">
        <f t="shared" si="5"/>
        <v>0</v>
      </c>
      <c r="BB49" s="3539">
        <v>16186.47</v>
      </c>
      <c r="BC49" s="3542"/>
      <c r="BD49" s="3538"/>
      <c r="BE49" s="3539"/>
      <c r="BF49" s="3540">
        <f t="shared" si="6"/>
        <v>0</v>
      </c>
      <c r="BG49" s="3539"/>
      <c r="BH49" s="3542"/>
      <c r="BI49" s="3538">
        <v>44421</v>
      </c>
      <c r="BJ49" s="3539">
        <v>61542</v>
      </c>
      <c r="BK49" s="3540">
        <f t="shared" si="7"/>
        <v>56460.55</v>
      </c>
      <c r="BL49" s="3539"/>
      <c r="BM49" s="3542" t="s">
        <v>3762</v>
      </c>
      <c r="BN49" s="3546">
        <v>44453</v>
      </c>
      <c r="BO49" s="3541"/>
      <c r="BP49" s="3540">
        <f t="shared" si="8"/>
        <v>0</v>
      </c>
      <c r="BQ49" s="3541">
        <v>16186.46</v>
      </c>
      <c r="BR49" s="3542"/>
      <c r="BS49" s="3545"/>
      <c r="BT49" s="3539"/>
      <c r="BU49" s="3540">
        <f t="shared" si="9"/>
        <v>0</v>
      </c>
      <c r="BV49" s="3539"/>
      <c r="BW49" s="3542"/>
      <c r="BX49" s="3546"/>
      <c r="BY49" s="3539"/>
      <c r="BZ49" s="3540">
        <f t="shared" si="10"/>
        <v>0</v>
      </c>
      <c r="CA49" s="3539"/>
      <c r="CB49" s="3539"/>
      <c r="CC49" s="3539"/>
      <c r="CD49" s="3539"/>
      <c r="CE49" s="3540">
        <f t="shared" si="11"/>
        <v>0</v>
      </c>
      <c r="CF49" s="3539"/>
      <c r="CG49" s="3542"/>
      <c r="CH49" s="3547">
        <f t="shared" si="12"/>
        <v>123086</v>
      </c>
    </row>
    <row r="50" spans="1:86" ht="15.75" customHeight="1">
      <c r="A50" s="3522">
        <v>46</v>
      </c>
      <c r="B50" s="3522">
        <v>3</v>
      </c>
      <c r="C50" s="3523" t="s">
        <v>3765</v>
      </c>
      <c r="D50" s="3525" t="s">
        <v>3766</v>
      </c>
      <c r="E50" s="3525" t="s">
        <v>3598</v>
      </c>
      <c r="F50" s="3526">
        <v>44580</v>
      </c>
      <c r="G50" s="3548">
        <v>786.33</v>
      </c>
      <c r="H50" s="3527"/>
      <c r="I50" s="3528">
        <v>44063</v>
      </c>
      <c r="J50" s="3533">
        <v>44124</v>
      </c>
      <c r="K50" s="3533">
        <v>45949</v>
      </c>
      <c r="L50" s="3552" t="s">
        <v>3767</v>
      </c>
      <c r="M50" s="3549">
        <v>4.0999999999999996</v>
      </c>
      <c r="N50" s="3532">
        <v>98062</v>
      </c>
      <c r="O50" s="3533">
        <v>45585</v>
      </c>
      <c r="P50" s="3531">
        <f>M50*1.08</f>
        <v>4.4279999999999999</v>
      </c>
      <c r="Q50" s="3532">
        <v>105955</v>
      </c>
      <c r="R50" s="3532">
        <v>5582847</v>
      </c>
      <c r="S50" s="3550" t="s">
        <v>3593</v>
      </c>
      <c r="T50" s="3550"/>
      <c r="U50" s="3534">
        <f t="shared" si="13"/>
        <v>79262.069999999992</v>
      </c>
      <c r="V50" s="3535">
        <v>294186</v>
      </c>
      <c r="W50" s="3536"/>
      <c r="X50" s="3536"/>
      <c r="Y50" s="3537">
        <v>294187</v>
      </c>
      <c r="Z50" s="3538">
        <v>44210</v>
      </c>
      <c r="AA50" s="3539"/>
      <c r="AB50" s="3540">
        <f t="shared" si="0"/>
        <v>0</v>
      </c>
      <c r="AC50" s="3541">
        <v>79262.070000000007</v>
      </c>
      <c r="AD50" s="3539"/>
      <c r="AE50" s="3538">
        <v>44229</v>
      </c>
      <c r="AF50" s="3539">
        <v>294186</v>
      </c>
      <c r="AG50" s="3540">
        <f t="shared" si="1"/>
        <v>269895.40999999997</v>
      </c>
      <c r="AH50" s="3541"/>
      <c r="AI50" s="3539" t="s">
        <v>3594</v>
      </c>
      <c r="AJ50" s="3538"/>
      <c r="AK50" s="3539"/>
      <c r="AL50" s="3540">
        <f t="shared" si="2"/>
        <v>0</v>
      </c>
      <c r="AM50" s="3541"/>
      <c r="AN50" s="3542"/>
      <c r="AO50" s="3538">
        <v>44302</v>
      </c>
      <c r="AP50" s="3540"/>
      <c r="AQ50" s="3540">
        <f t="shared" si="3"/>
        <v>0</v>
      </c>
      <c r="AR50" s="3540">
        <v>79262.070000000007</v>
      </c>
      <c r="AS50" s="3542"/>
      <c r="AT50" s="3538">
        <v>44328</v>
      </c>
      <c r="AU50" s="3532">
        <v>294186</v>
      </c>
      <c r="AV50" s="3540">
        <f t="shared" si="4"/>
        <v>269895.40999999997</v>
      </c>
      <c r="AW50" s="3539"/>
      <c r="AX50" s="3544" t="s">
        <v>3595</v>
      </c>
      <c r="AY50" s="3538"/>
      <c r="AZ50" s="3539"/>
      <c r="BA50" s="3540">
        <f t="shared" si="5"/>
        <v>0</v>
      </c>
      <c r="BB50" s="3539"/>
      <c r="BC50" s="3542"/>
      <c r="BD50" s="3538">
        <v>44389</v>
      </c>
      <c r="BE50" s="3539"/>
      <c r="BF50" s="3540">
        <f t="shared" si="6"/>
        <v>0</v>
      </c>
      <c r="BG50" s="3539">
        <v>79262.070000000007</v>
      </c>
      <c r="BH50" s="3542"/>
      <c r="BI50" s="3538">
        <v>44410</v>
      </c>
      <c r="BJ50" s="3539">
        <v>294188</v>
      </c>
      <c r="BK50" s="3540">
        <f t="shared" si="7"/>
        <v>269897.25</v>
      </c>
      <c r="BL50" s="3539"/>
      <c r="BM50" s="3542" t="s">
        <v>3768</v>
      </c>
      <c r="BN50" s="3546">
        <v>44461</v>
      </c>
      <c r="BO50" s="3541"/>
      <c r="BP50" s="3540">
        <f t="shared" si="8"/>
        <v>0</v>
      </c>
      <c r="BQ50" s="3541">
        <v>79262.069999999992</v>
      </c>
      <c r="BR50" s="3542"/>
      <c r="BS50" s="3545"/>
      <c r="BT50" s="3539"/>
      <c r="BU50" s="3540">
        <f t="shared" si="9"/>
        <v>0</v>
      </c>
      <c r="BV50" s="3539"/>
      <c r="BW50" s="3542"/>
      <c r="BX50" s="3546"/>
      <c r="BY50" s="3539"/>
      <c r="BZ50" s="3540">
        <f t="shared" si="10"/>
        <v>0</v>
      </c>
      <c r="CA50" s="3539"/>
      <c r="CB50" s="3539"/>
      <c r="CC50" s="3539"/>
      <c r="CD50" s="3539"/>
      <c r="CE50" s="3540">
        <f t="shared" si="11"/>
        <v>0</v>
      </c>
      <c r="CF50" s="3539"/>
      <c r="CG50" s="3542"/>
      <c r="CH50" s="3547">
        <f t="shared" si="12"/>
        <v>882560</v>
      </c>
    </row>
    <row r="51" spans="1:86" ht="15.75" customHeight="1">
      <c r="A51" s="3522">
        <v>47</v>
      </c>
      <c r="B51" s="3522">
        <v>2</v>
      </c>
      <c r="C51" s="3523" t="s">
        <v>3769</v>
      </c>
      <c r="D51" s="3525" t="s">
        <v>3770</v>
      </c>
      <c r="E51" s="3525" t="s">
        <v>3598</v>
      </c>
      <c r="F51" s="3526">
        <v>44580</v>
      </c>
      <c r="G51" s="3548">
        <v>489.79</v>
      </c>
      <c r="H51" s="3527"/>
      <c r="I51" s="3528">
        <v>44063</v>
      </c>
      <c r="J51" s="3533">
        <v>44124</v>
      </c>
      <c r="K51" s="3533">
        <v>45949</v>
      </c>
      <c r="L51" s="3552" t="s">
        <v>3767</v>
      </c>
      <c r="M51" s="3549">
        <v>4.0999999999999996</v>
      </c>
      <c r="N51" s="3532">
        <v>61081</v>
      </c>
      <c r="O51" s="3533">
        <v>45585</v>
      </c>
      <c r="P51" s="3531">
        <f>M51*1.08</f>
        <v>4.4279999999999999</v>
      </c>
      <c r="Q51" s="3532">
        <v>65997</v>
      </c>
      <c r="R51" s="3532">
        <v>3477444</v>
      </c>
      <c r="S51" s="3550" t="s">
        <v>3593</v>
      </c>
      <c r="T51" s="3550"/>
      <c r="U51" s="3534">
        <f t="shared" si="13"/>
        <v>49370.819999999992</v>
      </c>
      <c r="V51" s="3535">
        <v>183243</v>
      </c>
      <c r="W51" s="3536"/>
      <c r="X51" s="3536"/>
      <c r="Y51" s="3537">
        <v>183244</v>
      </c>
      <c r="Z51" s="3538">
        <v>44211</v>
      </c>
      <c r="AA51" s="3539"/>
      <c r="AB51" s="3540">
        <f t="shared" si="0"/>
        <v>0</v>
      </c>
      <c r="AC51" s="3541">
        <v>49370.82</v>
      </c>
      <c r="AD51" s="3539"/>
      <c r="AE51" s="3538">
        <v>44229</v>
      </c>
      <c r="AF51" s="3539">
        <v>183243</v>
      </c>
      <c r="AG51" s="3540">
        <f t="shared" si="1"/>
        <v>168112.84</v>
      </c>
      <c r="AH51" s="3541"/>
      <c r="AI51" s="3539" t="s">
        <v>3594</v>
      </c>
      <c r="AJ51" s="3538"/>
      <c r="AK51" s="3539"/>
      <c r="AL51" s="3540">
        <f t="shared" si="2"/>
        <v>0</v>
      </c>
      <c r="AM51" s="3541"/>
      <c r="AN51" s="3542"/>
      <c r="AO51" s="3538">
        <v>44302</v>
      </c>
      <c r="AP51" s="3540"/>
      <c r="AQ51" s="3540">
        <f t="shared" si="3"/>
        <v>0</v>
      </c>
      <c r="AR51" s="3540">
        <v>49370.82</v>
      </c>
      <c r="AS51" s="3542"/>
      <c r="AT51" s="3538">
        <v>44324</v>
      </c>
      <c r="AU51" s="3532">
        <v>183243</v>
      </c>
      <c r="AV51" s="3540">
        <f t="shared" si="4"/>
        <v>168112.84</v>
      </c>
      <c r="AW51" s="3539"/>
      <c r="AX51" s="3544" t="s">
        <v>3595</v>
      </c>
      <c r="AY51" s="3538"/>
      <c r="AZ51" s="3539"/>
      <c r="BA51" s="3540">
        <f t="shared" si="5"/>
        <v>0</v>
      </c>
      <c r="BB51" s="3539"/>
      <c r="BC51" s="3542"/>
      <c r="BD51" s="3538">
        <v>44389</v>
      </c>
      <c r="BE51" s="3539"/>
      <c r="BF51" s="3540">
        <f t="shared" si="6"/>
        <v>0</v>
      </c>
      <c r="BG51" s="3539">
        <v>49370.82</v>
      </c>
      <c r="BH51" s="3542"/>
      <c r="BI51" s="3538">
        <v>44411</v>
      </c>
      <c r="BJ51" s="3539">
        <v>183245</v>
      </c>
      <c r="BK51" s="3540">
        <f t="shared" si="7"/>
        <v>168114.68</v>
      </c>
      <c r="BL51" s="3539"/>
      <c r="BM51" s="3542" t="s">
        <v>3768</v>
      </c>
      <c r="BN51" s="3546">
        <v>44461</v>
      </c>
      <c r="BO51" s="3541"/>
      <c r="BP51" s="3540">
        <f t="shared" si="8"/>
        <v>0</v>
      </c>
      <c r="BQ51" s="3541">
        <v>49370.819999999992</v>
      </c>
      <c r="BR51" s="3542"/>
      <c r="BS51" s="3545"/>
      <c r="BT51" s="3539"/>
      <c r="BU51" s="3540">
        <f t="shared" si="9"/>
        <v>0</v>
      </c>
      <c r="BV51" s="3539"/>
      <c r="BW51" s="3542"/>
      <c r="BX51" s="3546"/>
      <c r="BY51" s="3539"/>
      <c r="BZ51" s="3540">
        <f t="shared" si="10"/>
        <v>0</v>
      </c>
      <c r="CA51" s="3539"/>
      <c r="CB51" s="3539"/>
      <c r="CC51" s="3539"/>
      <c r="CD51" s="3539"/>
      <c r="CE51" s="3540">
        <f t="shared" si="11"/>
        <v>0</v>
      </c>
      <c r="CF51" s="3539"/>
      <c r="CG51" s="3542"/>
      <c r="CH51" s="3547">
        <f t="shared" si="12"/>
        <v>549731</v>
      </c>
    </row>
    <row r="52" spans="1:86" ht="15.75" customHeight="1">
      <c r="A52" s="3522">
        <v>48</v>
      </c>
      <c r="B52" s="3522">
        <v>1</v>
      </c>
      <c r="C52" s="3523" t="s">
        <v>3771</v>
      </c>
      <c r="D52" s="3525" t="s">
        <v>3772</v>
      </c>
      <c r="E52" s="3525" t="s">
        <v>3638</v>
      </c>
      <c r="F52" s="3526">
        <v>44518</v>
      </c>
      <c r="G52" s="3548">
        <v>170.98</v>
      </c>
      <c r="H52" s="3527"/>
      <c r="I52" s="3528">
        <v>44298</v>
      </c>
      <c r="J52" s="3533">
        <v>44305</v>
      </c>
      <c r="K52" s="3533">
        <v>45400</v>
      </c>
      <c r="L52" s="3552" t="s">
        <v>3773</v>
      </c>
      <c r="M52" s="3549">
        <v>4.7</v>
      </c>
      <c r="N52" s="3532">
        <v>24443</v>
      </c>
      <c r="O52" s="3533"/>
      <c r="P52" s="3531"/>
      <c r="Q52" s="3532"/>
      <c r="R52" s="3532">
        <v>806622</v>
      </c>
      <c r="S52" s="3550" t="s">
        <v>3593</v>
      </c>
      <c r="T52" s="3550"/>
      <c r="U52" s="3534">
        <f t="shared" si="13"/>
        <v>17234.79</v>
      </c>
      <c r="V52" s="3535">
        <v>73329</v>
      </c>
      <c r="W52" s="3536"/>
      <c r="X52" s="3536"/>
      <c r="Y52" s="3537"/>
      <c r="Z52" s="3538"/>
      <c r="AA52" s="3539"/>
      <c r="AB52" s="3540"/>
      <c r="AC52" s="3541"/>
      <c r="AD52" s="3539"/>
      <c r="AE52" s="3538"/>
      <c r="AF52" s="3539"/>
      <c r="AG52" s="3540"/>
      <c r="AH52" s="3541"/>
      <c r="AI52" s="3539"/>
      <c r="AJ52" s="3538"/>
      <c r="AK52" s="3539"/>
      <c r="AL52" s="3540"/>
      <c r="AM52" s="3541"/>
      <c r="AN52" s="3542"/>
      <c r="AO52" s="3538">
        <v>44301</v>
      </c>
      <c r="AP52" s="3540">
        <v>73330</v>
      </c>
      <c r="AQ52" s="3540">
        <f t="shared" si="3"/>
        <v>67275.23</v>
      </c>
      <c r="AR52" s="3540"/>
      <c r="AS52" s="3542" t="s">
        <v>3774</v>
      </c>
      <c r="AT52" s="3538"/>
      <c r="AU52" s="3567"/>
      <c r="AV52" s="3540"/>
      <c r="AW52" s="3539"/>
      <c r="AX52" s="3544"/>
      <c r="AY52" s="3538"/>
      <c r="AZ52" s="3539"/>
      <c r="BA52" s="3540">
        <f t="shared" si="5"/>
        <v>0</v>
      </c>
      <c r="BB52" s="3539"/>
      <c r="BC52" s="3542"/>
      <c r="BD52" s="3538">
        <v>44400</v>
      </c>
      <c r="BE52" s="3539">
        <v>73329</v>
      </c>
      <c r="BF52" s="3540">
        <f t="shared" si="6"/>
        <v>67274.31</v>
      </c>
      <c r="BG52" s="3539"/>
      <c r="BH52" s="3542" t="s">
        <v>3775</v>
      </c>
      <c r="BI52" s="3538"/>
      <c r="BJ52" s="3539"/>
      <c r="BK52" s="3540">
        <f t="shared" si="7"/>
        <v>0</v>
      </c>
      <c r="BL52" s="3539"/>
      <c r="BM52" s="3542"/>
      <c r="BN52" s="3546"/>
      <c r="BO52" s="3541"/>
      <c r="BP52" s="3540">
        <f t="shared" si="8"/>
        <v>0</v>
      </c>
      <c r="BQ52" s="3541"/>
      <c r="BR52" s="3542"/>
      <c r="BS52" s="3545"/>
      <c r="BT52" s="3539"/>
      <c r="BU52" s="3540">
        <f t="shared" si="9"/>
        <v>0</v>
      </c>
      <c r="BV52" s="3539"/>
      <c r="BW52" s="3542"/>
      <c r="BX52" s="3546"/>
      <c r="BY52" s="3539"/>
      <c r="BZ52" s="3540">
        <f t="shared" si="10"/>
        <v>0</v>
      </c>
      <c r="CA52" s="3539"/>
      <c r="CB52" s="3539"/>
      <c r="CC52" s="3539"/>
      <c r="CD52" s="3539"/>
      <c r="CE52" s="3540">
        <f t="shared" si="11"/>
        <v>0</v>
      </c>
      <c r="CF52" s="3539"/>
      <c r="CG52" s="3542"/>
      <c r="CH52" s="3547">
        <f t="shared" si="12"/>
        <v>146659</v>
      </c>
    </row>
    <row r="53" spans="1:86" ht="15.75" customHeight="1">
      <c r="A53" s="3522">
        <v>49</v>
      </c>
      <c r="B53" s="3522">
        <v>2</v>
      </c>
      <c r="C53" s="3523" t="s">
        <v>3776</v>
      </c>
      <c r="D53" s="3525" t="s">
        <v>3777</v>
      </c>
      <c r="E53" s="3525" t="s">
        <v>3638</v>
      </c>
      <c r="F53" s="3526">
        <v>44530</v>
      </c>
      <c r="G53" s="3548">
        <v>1050.8699999999999</v>
      </c>
      <c r="H53" s="3527"/>
      <c r="I53" s="3528">
        <v>44334</v>
      </c>
      <c r="J53" s="3533">
        <v>44378</v>
      </c>
      <c r="K53" s="3533">
        <v>45473</v>
      </c>
      <c r="L53" s="3552" t="s">
        <v>3778</v>
      </c>
      <c r="M53" s="3549">
        <v>4.2</v>
      </c>
      <c r="N53" s="3532">
        <v>134249</v>
      </c>
      <c r="O53" s="3533"/>
      <c r="P53" s="3531"/>
      <c r="Q53" s="3532"/>
      <c r="R53" s="3532">
        <v>4161724</v>
      </c>
      <c r="S53" s="3550" t="s">
        <v>3593</v>
      </c>
      <c r="T53" s="3550"/>
      <c r="U53" s="3534">
        <f t="shared" si="13"/>
        <v>105927.69</v>
      </c>
      <c r="V53" s="3535">
        <v>402747</v>
      </c>
      <c r="W53" s="3536"/>
      <c r="X53" s="3536"/>
      <c r="Y53" s="3537"/>
      <c r="Z53" s="3538"/>
      <c r="AA53" s="3539"/>
      <c r="AB53" s="3540"/>
      <c r="AC53" s="3541"/>
      <c r="AD53" s="3539"/>
      <c r="AE53" s="3538"/>
      <c r="AF53" s="3539"/>
      <c r="AG53" s="3540"/>
      <c r="AH53" s="3541"/>
      <c r="AI53" s="3539"/>
      <c r="AJ53" s="3538"/>
      <c r="AK53" s="3539"/>
      <c r="AL53" s="3540"/>
      <c r="AM53" s="3541"/>
      <c r="AN53" s="3542"/>
      <c r="AO53" s="3538"/>
      <c r="AP53" s="3540"/>
      <c r="AQ53" s="3540"/>
      <c r="AR53" s="3540"/>
      <c r="AS53" s="3542"/>
      <c r="AT53" s="3538"/>
      <c r="AU53" s="3567"/>
      <c r="AV53" s="3540"/>
      <c r="AW53" s="3539"/>
      <c r="AX53" s="3544"/>
      <c r="AY53" s="3566" t="s">
        <v>3779</v>
      </c>
      <c r="AZ53" s="3539">
        <v>402749</v>
      </c>
      <c r="BA53" s="3540">
        <f t="shared" si="5"/>
        <v>369494.5</v>
      </c>
      <c r="BB53" s="3539">
        <f>105927.69*2</f>
        <v>211855.38</v>
      </c>
      <c r="BC53" s="3542" t="s">
        <v>3780</v>
      </c>
      <c r="BD53" s="3538"/>
      <c r="BE53" s="3539"/>
      <c r="BF53" s="3540">
        <f t="shared" si="6"/>
        <v>0</v>
      </c>
      <c r="BG53" s="3539"/>
      <c r="BH53" s="3542"/>
      <c r="BI53" s="3538"/>
      <c r="BJ53" s="3539"/>
      <c r="BK53" s="3540">
        <f t="shared" si="7"/>
        <v>0</v>
      </c>
      <c r="BL53" s="3539"/>
      <c r="BM53" s="3542"/>
      <c r="BN53" s="3546"/>
      <c r="BO53" s="3541"/>
      <c r="BP53" s="3540">
        <f t="shared" si="8"/>
        <v>0</v>
      </c>
      <c r="BQ53" s="3541"/>
      <c r="BR53" s="3542"/>
      <c r="BS53" s="3545"/>
      <c r="BT53" s="3539"/>
      <c r="BU53" s="3540">
        <f t="shared" si="9"/>
        <v>0</v>
      </c>
      <c r="BV53" s="3539"/>
      <c r="BW53" s="3542"/>
      <c r="BX53" s="3546"/>
      <c r="BY53" s="3539"/>
      <c r="BZ53" s="3540">
        <f t="shared" si="10"/>
        <v>0</v>
      </c>
      <c r="CA53" s="3539"/>
      <c r="CB53" s="3539"/>
      <c r="CC53" s="3539"/>
      <c r="CD53" s="3539"/>
      <c r="CE53" s="3540">
        <f t="shared" si="11"/>
        <v>0</v>
      </c>
      <c r="CF53" s="3539"/>
      <c r="CG53" s="3542"/>
      <c r="CH53" s="3547">
        <f t="shared" si="12"/>
        <v>402749</v>
      </c>
    </row>
    <row r="54" spans="1:86" ht="15.75" customHeight="1">
      <c r="A54" s="3522">
        <v>50</v>
      </c>
      <c r="B54" s="3522">
        <v>2</v>
      </c>
      <c r="C54" s="3523" t="s">
        <v>3781</v>
      </c>
      <c r="D54" s="3525" t="s">
        <v>3782</v>
      </c>
      <c r="E54" s="3525" t="s">
        <v>3638</v>
      </c>
      <c r="F54" s="3526">
        <v>44530</v>
      </c>
      <c r="G54" s="3548">
        <v>1050.8699999999999</v>
      </c>
      <c r="H54" s="3527"/>
      <c r="I54" s="3528">
        <v>44334</v>
      </c>
      <c r="J54" s="3533">
        <v>44378</v>
      </c>
      <c r="K54" s="3533">
        <v>45473</v>
      </c>
      <c r="L54" s="3552" t="s">
        <v>3778</v>
      </c>
      <c r="M54" s="3549">
        <v>4.2</v>
      </c>
      <c r="N54" s="3532">
        <v>134249</v>
      </c>
      <c r="O54" s="3533"/>
      <c r="P54" s="3531"/>
      <c r="Q54" s="3532"/>
      <c r="R54" s="3532">
        <v>4161724</v>
      </c>
      <c r="S54" s="3550" t="s">
        <v>3593</v>
      </c>
      <c r="T54" s="3550"/>
      <c r="U54" s="3534">
        <f t="shared" si="13"/>
        <v>105927.69</v>
      </c>
      <c r="V54" s="3535">
        <v>402747</v>
      </c>
      <c r="W54" s="3536"/>
      <c r="X54" s="3536"/>
      <c r="Y54" s="3537"/>
      <c r="Z54" s="3538"/>
      <c r="AA54" s="3539"/>
      <c r="AB54" s="3540"/>
      <c r="AC54" s="3541"/>
      <c r="AD54" s="3539"/>
      <c r="AE54" s="3538"/>
      <c r="AF54" s="3539"/>
      <c r="AG54" s="3540"/>
      <c r="AH54" s="3541"/>
      <c r="AI54" s="3539"/>
      <c r="AJ54" s="3538"/>
      <c r="AK54" s="3539"/>
      <c r="AL54" s="3540"/>
      <c r="AM54" s="3541"/>
      <c r="AN54" s="3542"/>
      <c r="AO54" s="3538"/>
      <c r="AP54" s="3540"/>
      <c r="AQ54" s="3540"/>
      <c r="AR54" s="3540"/>
      <c r="AS54" s="3542"/>
      <c r="AT54" s="3538"/>
      <c r="AU54" s="3567"/>
      <c r="AV54" s="3540"/>
      <c r="AW54" s="3539"/>
      <c r="AX54" s="3544"/>
      <c r="AY54" s="3566" t="s">
        <v>3779</v>
      </c>
      <c r="AZ54" s="3539">
        <v>402749</v>
      </c>
      <c r="BA54" s="3540">
        <f t="shared" si="5"/>
        <v>369494.5</v>
      </c>
      <c r="BB54" s="3539">
        <f>105927.69*2</f>
        <v>211855.38</v>
      </c>
      <c r="BC54" s="3542" t="s">
        <v>3780</v>
      </c>
      <c r="BD54" s="3538"/>
      <c r="BE54" s="3539"/>
      <c r="BF54" s="3540">
        <f t="shared" si="6"/>
        <v>0</v>
      </c>
      <c r="BG54" s="3539"/>
      <c r="BH54" s="3542"/>
      <c r="BI54" s="3538"/>
      <c r="BJ54" s="3539"/>
      <c r="BK54" s="3540">
        <f t="shared" si="7"/>
        <v>0</v>
      </c>
      <c r="BL54" s="3539"/>
      <c r="BM54" s="3542"/>
      <c r="BN54" s="3546"/>
      <c r="BO54" s="3541"/>
      <c r="BP54" s="3540">
        <f t="shared" si="8"/>
        <v>0</v>
      </c>
      <c r="BQ54" s="3541"/>
      <c r="BR54" s="3542"/>
      <c r="BS54" s="3545"/>
      <c r="BT54" s="3539"/>
      <c r="BU54" s="3540">
        <f t="shared" si="9"/>
        <v>0</v>
      </c>
      <c r="BV54" s="3539"/>
      <c r="BW54" s="3542"/>
      <c r="BX54" s="3546"/>
      <c r="BY54" s="3539"/>
      <c r="BZ54" s="3540">
        <f t="shared" si="10"/>
        <v>0</v>
      </c>
      <c r="CA54" s="3539"/>
      <c r="CB54" s="3539"/>
      <c r="CC54" s="3539"/>
      <c r="CD54" s="3539"/>
      <c r="CE54" s="3540">
        <f t="shared" si="11"/>
        <v>0</v>
      </c>
      <c r="CF54" s="3539"/>
      <c r="CG54" s="3542"/>
      <c r="CH54" s="3547">
        <f t="shared" si="12"/>
        <v>402749</v>
      </c>
    </row>
    <row r="55" spans="1:86" ht="15.75" hidden="1" customHeight="1">
      <c r="A55" s="3522">
        <v>51</v>
      </c>
      <c r="B55" s="3522">
        <v>4</v>
      </c>
      <c r="C55" s="3523" t="s">
        <v>3783</v>
      </c>
      <c r="D55" s="3525" t="s">
        <v>3784</v>
      </c>
      <c r="E55" s="3525" t="s">
        <v>3642</v>
      </c>
      <c r="F55" s="3526">
        <v>44601</v>
      </c>
      <c r="G55" s="3548">
        <v>2101.7399999999998</v>
      </c>
      <c r="H55" s="3527"/>
      <c r="I55" s="3528">
        <v>44409</v>
      </c>
      <c r="J55" s="3533">
        <v>44449</v>
      </c>
      <c r="K55" s="3533">
        <v>45544</v>
      </c>
      <c r="L55" s="3552" t="s">
        <v>3785</v>
      </c>
      <c r="M55" s="3549">
        <v>4.0999999999999996</v>
      </c>
      <c r="N55" s="3532">
        <v>262104</v>
      </c>
      <c r="O55" s="3533"/>
      <c r="P55" s="3531"/>
      <c r="Q55" s="3532"/>
      <c r="R55" s="3532">
        <v>8387332</v>
      </c>
      <c r="S55" s="3550" t="s">
        <v>3593</v>
      </c>
      <c r="T55" s="3550"/>
      <c r="U55" s="3534">
        <f t="shared" si="13"/>
        <v>211855.38</v>
      </c>
      <c r="V55" s="3535">
        <v>786312</v>
      </c>
      <c r="W55" s="3536"/>
      <c r="X55" s="3536"/>
      <c r="Y55" s="3537"/>
      <c r="Z55" s="3538"/>
      <c r="AA55" s="3539"/>
      <c r="AB55" s="3540"/>
      <c r="AC55" s="3541"/>
      <c r="AD55" s="3539"/>
      <c r="AE55" s="3538"/>
      <c r="AF55" s="3539"/>
      <c r="AG55" s="3540"/>
      <c r="AH55" s="3541"/>
      <c r="AI55" s="3539"/>
      <c r="AJ55" s="3538"/>
      <c r="AK55" s="3539"/>
      <c r="AL55" s="3540"/>
      <c r="AM55" s="3541"/>
      <c r="AN55" s="3542"/>
      <c r="AO55" s="3538"/>
      <c r="AP55" s="3540"/>
      <c r="AQ55" s="3540"/>
      <c r="AR55" s="3540"/>
      <c r="AS55" s="3542"/>
      <c r="AT55" s="3538"/>
      <c r="AU55" s="3567"/>
      <c r="AV55" s="3540"/>
      <c r="AW55" s="3539"/>
      <c r="AX55" s="3544"/>
      <c r="AY55" s="3566"/>
      <c r="AZ55" s="3539"/>
      <c r="BA55" s="3540"/>
      <c r="BB55" s="3539"/>
      <c r="BC55" s="3542"/>
      <c r="BD55" s="3538"/>
      <c r="BE55" s="3539"/>
      <c r="BF55" s="3540"/>
      <c r="BG55" s="3539"/>
      <c r="BH55" s="3542"/>
      <c r="BI55" s="3538">
        <v>44414</v>
      </c>
      <c r="BJ55" s="3539">
        <v>786314</v>
      </c>
      <c r="BK55" s="3540">
        <f t="shared" si="7"/>
        <v>721388.99</v>
      </c>
      <c r="BL55" s="3539"/>
      <c r="BM55" s="3542" t="s">
        <v>3786</v>
      </c>
      <c r="BN55" s="3546"/>
      <c r="BO55" s="3541"/>
      <c r="BP55" s="3540">
        <f t="shared" si="8"/>
        <v>0</v>
      </c>
      <c r="BQ55" s="3541"/>
      <c r="BR55" s="3542"/>
      <c r="BS55" s="3545"/>
      <c r="BT55" s="3539"/>
      <c r="BU55" s="3540">
        <f t="shared" si="9"/>
        <v>0</v>
      </c>
      <c r="BV55" s="3539"/>
      <c r="BW55" s="3542"/>
      <c r="BX55" s="3546"/>
      <c r="BY55" s="3539"/>
      <c r="BZ55" s="3540">
        <f t="shared" si="10"/>
        <v>0</v>
      </c>
      <c r="CA55" s="3539"/>
      <c r="CB55" s="3539"/>
      <c r="CC55" s="3539"/>
      <c r="CD55" s="3539"/>
      <c r="CE55" s="3540">
        <f t="shared" si="11"/>
        <v>0</v>
      </c>
      <c r="CF55" s="3539"/>
      <c r="CG55" s="3542"/>
      <c r="CH55" s="3547">
        <f t="shared" si="12"/>
        <v>786314</v>
      </c>
    </row>
    <row r="56" spans="1:86" ht="15.75" customHeight="1">
      <c r="A56" s="3522">
        <v>52</v>
      </c>
      <c r="B56" s="3522">
        <v>2</v>
      </c>
      <c r="C56" s="3563" t="s">
        <v>3787</v>
      </c>
      <c r="D56" s="3525" t="s">
        <v>3788</v>
      </c>
      <c r="E56" s="3525" t="s">
        <v>3585</v>
      </c>
      <c r="F56" s="3526">
        <v>44561</v>
      </c>
      <c r="G56" s="3548">
        <v>979.32</v>
      </c>
      <c r="H56" s="3527"/>
      <c r="I56" s="3528">
        <v>43191</v>
      </c>
      <c r="J56" s="3533">
        <v>43191</v>
      </c>
      <c r="K56" s="3533">
        <v>45016</v>
      </c>
      <c r="L56" s="3552" t="s">
        <v>3789</v>
      </c>
      <c r="M56" s="3549">
        <f>6.5*1.1</f>
        <v>7.15</v>
      </c>
      <c r="N56" s="3532">
        <v>212981.7</v>
      </c>
      <c r="O56" s="3533">
        <v>44652</v>
      </c>
      <c r="P56" s="3531">
        <f>M56*1.1</f>
        <v>7.8650000000000011</v>
      </c>
      <c r="Q56" s="3532">
        <v>234279.87</v>
      </c>
      <c r="R56" s="3532">
        <v>10455465.42</v>
      </c>
      <c r="S56" s="3550" t="s">
        <v>3593</v>
      </c>
      <c r="T56" s="3550"/>
      <c r="U56" s="3534">
        <f t="shared" si="13"/>
        <v>98715.450000000012</v>
      </c>
      <c r="V56" s="3570">
        <v>580859.18999999994</v>
      </c>
      <c r="W56" s="3536">
        <v>580859.18999999994</v>
      </c>
      <c r="X56" s="3536">
        <v>2904295.93</v>
      </c>
      <c r="Y56" s="3537">
        <v>2323436.7599999998</v>
      </c>
      <c r="Z56" s="3538"/>
      <c r="AA56" s="3539"/>
      <c r="AB56" s="3540">
        <f t="shared" si="0"/>
        <v>0</v>
      </c>
      <c r="AC56" s="3541"/>
      <c r="AD56" s="3539"/>
      <c r="AE56" s="3538"/>
      <c r="AF56" s="3539"/>
      <c r="AG56" s="3540">
        <f t="shared" si="1"/>
        <v>0</v>
      </c>
      <c r="AH56" s="3541"/>
      <c r="AI56" s="3539"/>
      <c r="AJ56" s="3538">
        <v>44280</v>
      </c>
      <c r="AK56" s="3539">
        <v>638945.1</v>
      </c>
      <c r="AL56" s="3540">
        <f t="shared" si="2"/>
        <v>586188.17000000004</v>
      </c>
      <c r="AM56" s="3541"/>
      <c r="AN56" s="3542" t="s">
        <v>3635</v>
      </c>
      <c r="AO56" s="3538">
        <v>44298</v>
      </c>
      <c r="AP56" s="3540"/>
      <c r="AQ56" s="3540">
        <f t="shared" si="3"/>
        <v>0</v>
      </c>
      <c r="AR56" s="3540"/>
      <c r="AS56" s="3542"/>
      <c r="AT56" s="3538"/>
      <c r="AU56" s="3539"/>
      <c r="AV56" s="3540">
        <f t="shared" si="4"/>
        <v>0</v>
      </c>
      <c r="AW56" s="3539"/>
      <c r="AX56" s="3544"/>
      <c r="AY56" s="3538">
        <v>44364</v>
      </c>
      <c r="AZ56" s="3539">
        <v>638945.1</v>
      </c>
      <c r="BA56" s="3540">
        <f t="shared" si="5"/>
        <v>586188.17000000004</v>
      </c>
      <c r="BB56" s="3539"/>
      <c r="BC56" s="3542" t="s">
        <v>3636</v>
      </c>
      <c r="BD56" s="3538"/>
      <c r="BE56" s="3539"/>
      <c r="BF56" s="3540">
        <f t="shared" si="6"/>
        <v>0</v>
      </c>
      <c r="BG56" s="3539"/>
      <c r="BH56" s="3542"/>
      <c r="BI56" s="3538"/>
      <c r="BJ56" s="3539"/>
      <c r="BK56" s="3540">
        <f t="shared" si="7"/>
        <v>0</v>
      </c>
      <c r="BL56" s="3539"/>
      <c r="BM56" s="3542"/>
      <c r="BN56" s="3546">
        <v>44468</v>
      </c>
      <c r="BO56" s="3541">
        <v>638945.1</v>
      </c>
      <c r="BP56" s="3540">
        <f t="shared" si="8"/>
        <v>586188.17000000004</v>
      </c>
      <c r="BQ56" s="3541"/>
      <c r="BR56" s="3542" t="s">
        <v>3790</v>
      </c>
      <c r="BS56" s="3545"/>
      <c r="BT56" s="3539"/>
      <c r="BU56" s="3540">
        <f t="shared" si="9"/>
        <v>0</v>
      </c>
      <c r="BV56" s="3539"/>
      <c r="BW56" s="3542"/>
      <c r="BX56" s="3546"/>
      <c r="BY56" s="3539"/>
      <c r="BZ56" s="3540">
        <f t="shared" si="10"/>
        <v>0</v>
      </c>
      <c r="CA56" s="3539"/>
      <c r="CB56" s="3539"/>
      <c r="CC56" s="3539"/>
      <c r="CD56" s="3539"/>
      <c r="CE56" s="3540">
        <f t="shared" si="11"/>
        <v>0</v>
      </c>
      <c r="CF56" s="3539"/>
      <c r="CG56" s="3542"/>
      <c r="CH56" s="3547">
        <f t="shared" si="12"/>
        <v>1916835.2999999998</v>
      </c>
    </row>
    <row r="57" spans="1:86" ht="15.75" hidden="1" customHeight="1">
      <c r="A57" s="3522">
        <v>53</v>
      </c>
      <c r="B57" s="3522"/>
      <c r="C57" s="3571" t="s">
        <v>3791</v>
      </c>
      <c r="D57" s="3525"/>
      <c r="E57" s="3572"/>
      <c r="F57" s="3573"/>
      <c r="H57" s="3548">
        <v>1135.92</v>
      </c>
      <c r="I57" s="3528"/>
      <c r="J57" s="3533"/>
      <c r="K57" s="3533"/>
      <c r="L57" s="3574"/>
      <c r="M57" s="3549"/>
      <c r="N57" s="3532"/>
      <c r="O57" s="3533"/>
      <c r="P57" s="3531"/>
      <c r="Q57" s="3532"/>
      <c r="R57" s="3532"/>
      <c r="S57" s="3550"/>
      <c r="T57" s="3564"/>
      <c r="U57" s="3534">
        <f>ROUND(H57*33.6,2)*3</f>
        <v>114500.73000000001</v>
      </c>
      <c r="V57" s="3570"/>
      <c r="W57" s="3536"/>
      <c r="X57" s="3536"/>
      <c r="Y57" s="3537">
        <v>0</v>
      </c>
      <c r="Z57" s="3538"/>
      <c r="AA57" s="3539"/>
      <c r="AB57" s="3540">
        <f t="shared" si="0"/>
        <v>0</v>
      </c>
      <c r="AC57" s="3541"/>
      <c r="AD57" s="3539"/>
      <c r="AE57" s="3539"/>
      <c r="AF57" s="3539"/>
      <c r="AG57" s="3540">
        <f t="shared" si="1"/>
        <v>0</v>
      </c>
      <c r="AH57" s="3541"/>
      <c r="AI57" s="3539"/>
      <c r="AJ57" s="3539"/>
      <c r="AK57" s="3539"/>
      <c r="AL57" s="3540">
        <f t="shared" si="2"/>
        <v>0</v>
      </c>
      <c r="AM57" s="3541"/>
      <c r="AN57" s="3542"/>
      <c r="AO57" s="3545"/>
      <c r="AP57" s="3575"/>
      <c r="AQ57" s="3540">
        <f t="shared" si="3"/>
        <v>0</v>
      </c>
      <c r="AR57" s="3539"/>
      <c r="AS57" s="3542"/>
      <c r="AT57" s="3545"/>
      <c r="AU57" s="3539"/>
      <c r="AV57" s="3540">
        <f t="shared" si="4"/>
        <v>0</v>
      </c>
      <c r="AW57" s="3539"/>
      <c r="AX57" s="3544"/>
      <c r="AY57" s="3538"/>
      <c r="AZ57" s="3539"/>
      <c r="BA57" s="3540">
        <f t="shared" si="5"/>
        <v>0</v>
      </c>
      <c r="BB57" s="3539"/>
      <c r="BC57" s="3542"/>
      <c r="BD57" s="3538"/>
      <c r="BE57" s="3539"/>
      <c r="BF57" s="3540">
        <f t="shared" si="6"/>
        <v>0</v>
      </c>
      <c r="BG57" s="3539"/>
      <c r="BH57" s="3542"/>
      <c r="BI57" s="3538"/>
      <c r="BJ57" s="3539"/>
      <c r="BK57" s="3540"/>
      <c r="BL57" s="3539"/>
      <c r="BM57" s="3542"/>
      <c r="BN57" s="3545"/>
      <c r="BO57" s="3541"/>
      <c r="BP57" s="3540">
        <f t="shared" si="8"/>
        <v>0</v>
      </c>
      <c r="BQ57" s="3541"/>
      <c r="BR57" s="3542"/>
      <c r="BS57" s="3545"/>
      <c r="BT57" s="3539"/>
      <c r="BU57" s="3540">
        <f t="shared" si="9"/>
        <v>0</v>
      </c>
      <c r="BV57" s="3539"/>
      <c r="BW57" s="3542"/>
      <c r="BX57" s="3546"/>
      <c r="BY57" s="3539"/>
      <c r="BZ57" s="3540">
        <f t="shared" si="10"/>
        <v>0</v>
      </c>
      <c r="CA57" s="3539"/>
      <c r="CB57" s="3539"/>
      <c r="CC57" s="3539"/>
      <c r="CD57" s="3539"/>
      <c r="CE57" s="3540">
        <f t="shared" si="11"/>
        <v>0</v>
      </c>
      <c r="CF57" s="3539"/>
      <c r="CG57" s="3542"/>
      <c r="CH57" s="3547">
        <f t="shared" si="12"/>
        <v>0</v>
      </c>
    </row>
    <row r="58" spans="1:86">
      <c r="A58" s="3576"/>
      <c r="B58" s="3577">
        <f>SUM(B5:B57)</f>
        <v>82</v>
      </c>
      <c r="C58" s="3985" t="s">
        <v>3792</v>
      </c>
      <c r="D58" s="3986"/>
      <c r="E58" s="3578"/>
      <c r="F58" s="3579"/>
      <c r="G58" s="3579">
        <f>SUBTOTAL(9,G5:G57)</f>
        <v>22472.449999999997</v>
      </c>
      <c r="H58" s="3579">
        <f>SUBTOTAL(9,H5:H57)</f>
        <v>2430.3000000000002</v>
      </c>
      <c r="I58" s="3579"/>
      <c r="J58" s="3579"/>
      <c r="K58" s="3579"/>
      <c r="L58" s="3580"/>
      <c r="M58" s="3579"/>
      <c r="N58" s="3579">
        <f>SUBTOTAL(9,N5:N57)</f>
        <v>3327108.2700000005</v>
      </c>
      <c r="O58" s="3579"/>
      <c r="P58" s="3579"/>
      <c r="Q58" s="3579">
        <f>SUBTOTAL(9,Q5:Q57)</f>
        <v>667775.25</v>
      </c>
      <c r="R58" s="3579">
        <f>SUBTOTAL(9,R5:R57)</f>
        <v>110270142.07000001</v>
      </c>
      <c r="S58" s="3579"/>
      <c r="T58" s="3579">
        <f t="shared" ref="T58:BM58" si="14">SUBTOTAL(9,T5:T57)</f>
        <v>0</v>
      </c>
      <c r="U58" s="3579"/>
      <c r="V58" s="3579">
        <f t="shared" si="14"/>
        <v>9831267.9100000001</v>
      </c>
      <c r="W58" s="3579">
        <f t="shared" si="14"/>
        <v>2617322.4299999997</v>
      </c>
      <c r="X58" s="3579">
        <f t="shared" si="14"/>
        <v>11878084.749999998</v>
      </c>
      <c r="Y58" s="3579">
        <f t="shared" si="14"/>
        <v>19287413.769999996</v>
      </c>
      <c r="Z58" s="3579">
        <f t="shared" si="14"/>
        <v>574809</v>
      </c>
      <c r="AA58" s="3579">
        <f t="shared" si="14"/>
        <v>1045886.07</v>
      </c>
      <c r="AB58" s="3579">
        <f t="shared" si="14"/>
        <v>959528.50999999989</v>
      </c>
      <c r="AC58" s="3579">
        <f t="shared" si="14"/>
        <v>328555.89000000007</v>
      </c>
      <c r="AD58" s="3579">
        <f t="shared" si="14"/>
        <v>0</v>
      </c>
      <c r="AE58" s="3579">
        <f t="shared" si="14"/>
        <v>619351</v>
      </c>
      <c r="AF58" s="3579">
        <f t="shared" si="14"/>
        <v>1434568.54</v>
      </c>
      <c r="AG58" s="3579">
        <f t="shared" si="14"/>
        <v>1316117.9100000001</v>
      </c>
      <c r="AH58" s="3579">
        <f t="shared" si="14"/>
        <v>668111.28</v>
      </c>
      <c r="AI58" s="3579">
        <f t="shared" si="14"/>
        <v>0</v>
      </c>
      <c r="AJ58" s="3579">
        <f t="shared" si="14"/>
        <v>973970</v>
      </c>
      <c r="AK58" s="3579">
        <f t="shared" si="14"/>
        <v>3480464.68</v>
      </c>
      <c r="AL58" s="3579">
        <f t="shared" si="14"/>
        <v>3193086.8700000006</v>
      </c>
      <c r="AM58" s="3579">
        <f t="shared" si="14"/>
        <v>714856.98</v>
      </c>
      <c r="AN58" s="3579">
        <f t="shared" si="14"/>
        <v>0</v>
      </c>
      <c r="AO58" s="3579">
        <f t="shared" si="14"/>
        <v>664538</v>
      </c>
      <c r="AP58" s="3579">
        <f t="shared" si="14"/>
        <v>1332995</v>
      </c>
      <c r="AQ58" s="3579">
        <f t="shared" si="14"/>
        <v>1222931.2</v>
      </c>
      <c r="AR58" s="3579">
        <f t="shared" si="14"/>
        <v>350327.24000000005</v>
      </c>
      <c r="AS58" s="3579">
        <f t="shared" si="14"/>
        <v>0</v>
      </c>
      <c r="AT58" s="3579">
        <f t="shared" si="14"/>
        <v>842287</v>
      </c>
      <c r="AU58" s="3579">
        <f t="shared" si="14"/>
        <v>2779602.03</v>
      </c>
      <c r="AV58" s="3579">
        <f t="shared" si="14"/>
        <v>2550093.6</v>
      </c>
      <c r="AW58" s="3579">
        <f t="shared" si="14"/>
        <v>741314.09</v>
      </c>
      <c r="AX58" s="3579">
        <f t="shared" si="14"/>
        <v>0</v>
      </c>
      <c r="AY58" s="3579">
        <f t="shared" si="14"/>
        <v>621121</v>
      </c>
      <c r="AZ58" s="3579">
        <f t="shared" si="14"/>
        <v>3153013.0100000002</v>
      </c>
      <c r="BA58" s="3579">
        <f t="shared" si="14"/>
        <v>2892672.51</v>
      </c>
      <c r="BB58" s="3579">
        <f t="shared" si="14"/>
        <v>690562.63</v>
      </c>
      <c r="BC58" s="3579">
        <f t="shared" si="14"/>
        <v>0</v>
      </c>
      <c r="BD58" s="3579">
        <f t="shared" si="14"/>
        <v>532689</v>
      </c>
      <c r="BE58" s="3579">
        <f t="shared" si="14"/>
        <v>935308.84</v>
      </c>
      <c r="BF58" s="3579">
        <f t="shared" si="14"/>
        <v>858081.5</v>
      </c>
      <c r="BG58" s="3579">
        <f t="shared" si="14"/>
        <v>386487.46</v>
      </c>
      <c r="BH58" s="3579">
        <f t="shared" si="14"/>
        <v>0</v>
      </c>
      <c r="BI58" s="3579">
        <f t="shared" si="14"/>
        <v>1154868</v>
      </c>
      <c r="BJ58" s="3579">
        <f t="shared" si="14"/>
        <v>4426669.67</v>
      </c>
      <c r="BK58" s="3579">
        <f t="shared" si="14"/>
        <v>4033957.5200000005</v>
      </c>
      <c r="BL58" s="3579">
        <f t="shared" si="14"/>
        <v>739639.79</v>
      </c>
      <c r="BM58" s="3579">
        <f t="shared" si="14"/>
        <v>0</v>
      </c>
      <c r="BN58" s="3579"/>
      <c r="BO58" s="3579">
        <f>SUBTOTAL(9,BO5:BO57)</f>
        <v>2692284.14</v>
      </c>
      <c r="BP58" s="3579">
        <f t="shared" ref="BP58:CA58" si="15">SUBTOTAL(9,BP5:BP57)</f>
        <v>2469985.4700000002</v>
      </c>
      <c r="BQ58" s="3579">
        <f t="shared" si="15"/>
        <v>458232.74000000005</v>
      </c>
      <c r="BR58" s="3579"/>
      <c r="BS58" s="3579"/>
      <c r="BT58" s="3579">
        <f t="shared" si="15"/>
        <v>0</v>
      </c>
      <c r="BU58" s="3579">
        <f t="shared" si="15"/>
        <v>0</v>
      </c>
      <c r="BV58" s="3579">
        <f t="shared" si="15"/>
        <v>0</v>
      </c>
      <c r="BW58" s="3579"/>
      <c r="BX58" s="3579"/>
      <c r="BY58" s="3579">
        <f t="shared" si="15"/>
        <v>0</v>
      </c>
      <c r="BZ58" s="3579">
        <f t="shared" si="15"/>
        <v>0</v>
      </c>
      <c r="CA58" s="3579">
        <f t="shared" si="15"/>
        <v>0</v>
      </c>
      <c r="CB58" s="3579"/>
      <c r="CC58" s="3579"/>
      <c r="CD58" s="3579">
        <f>SUBTOTAL(9,CD5:CD57)</f>
        <v>0</v>
      </c>
      <c r="CE58" s="3579">
        <f>SUBTOTAL(9,CE5:CE57)</f>
        <v>0</v>
      </c>
      <c r="CF58" s="3579">
        <f>SUBTOTAL(9,CF5:CF57)</f>
        <v>0</v>
      </c>
      <c r="CG58" s="3580"/>
      <c r="CH58" s="3581">
        <f>SUBTOTAL(9,CH5:CH57)</f>
        <v>21280791.98</v>
      </c>
    </row>
    <row r="59" spans="1:86">
      <c r="BO59" s="3579">
        <f>BO58+[3]万港通台账!BO67</f>
        <v>3857396.14</v>
      </c>
      <c r="BR59" s="3511"/>
      <c r="BW59" s="3511"/>
    </row>
    <row r="60" spans="1:86">
      <c r="L60" s="3511"/>
      <c r="Z60" s="3511"/>
      <c r="AN60" s="3511"/>
      <c r="AS60" s="3511"/>
      <c r="BC60" s="3511"/>
      <c r="BH60" s="3511"/>
      <c r="BM60" s="3511"/>
      <c r="BR60" s="3511"/>
      <c r="BW60" s="3511"/>
      <c r="CG60" s="3511"/>
    </row>
    <row r="61" spans="1:86" ht="17.25">
      <c r="B61" s="3987" t="s">
        <v>3793</v>
      </c>
      <c r="C61" s="3585" t="s">
        <v>3794</v>
      </c>
      <c r="D61" s="3586">
        <v>46164.24</v>
      </c>
      <c r="E61" s="3587"/>
      <c r="L61" s="3511"/>
      <c r="Z61" s="3511"/>
      <c r="AN61" s="3511"/>
      <c r="AS61" s="3511"/>
      <c r="BC61" s="3511"/>
      <c r="BH61" s="3511"/>
      <c r="BM61" s="3511"/>
      <c r="BR61" s="3511"/>
      <c r="BW61" s="3511"/>
      <c r="CG61" s="3511"/>
    </row>
    <row r="62" spans="1:86" ht="19.149999999999999" customHeight="1">
      <c r="B62" s="3987"/>
      <c r="C62" s="3585" t="s">
        <v>3795</v>
      </c>
      <c r="D62" s="3586">
        <v>3219.5</v>
      </c>
      <c r="E62" s="3588" t="s">
        <v>3796</v>
      </c>
      <c r="L62" s="3511"/>
      <c r="Z62" s="3511"/>
      <c r="AN62" s="3511"/>
      <c r="AS62" s="3511"/>
      <c r="BC62" s="3511"/>
      <c r="BH62" s="3511"/>
      <c r="BM62" s="3511"/>
      <c r="BR62" s="3511"/>
      <c r="BW62" s="3511"/>
      <c r="CG62" s="3511"/>
    </row>
    <row r="63" spans="1:86" ht="19.149999999999999" customHeight="1">
      <c r="B63" s="3987"/>
      <c r="C63" s="3585" t="s">
        <v>3797</v>
      </c>
      <c r="D63" s="3586">
        <f>D61-D62</f>
        <v>42944.74</v>
      </c>
      <c r="E63" s="3588"/>
      <c r="F63" s="3589"/>
      <c r="L63" s="3511"/>
      <c r="Z63" s="3511"/>
      <c r="AN63" s="3511"/>
      <c r="AS63" s="3511"/>
      <c r="BC63" s="3511"/>
      <c r="BH63" s="3511"/>
      <c r="BM63" s="3511"/>
      <c r="BR63" s="3511"/>
      <c r="BW63" s="3511"/>
      <c r="CG63" s="3511"/>
    </row>
    <row r="64" spans="1:86" ht="16.149999999999999" customHeight="1">
      <c r="B64" s="3987"/>
      <c r="C64" s="3585" t="s">
        <v>3798</v>
      </c>
      <c r="D64" s="3590">
        <f>G58/D63</f>
        <v>0.52328760169464283</v>
      </c>
      <c r="E64" s="3589"/>
      <c r="F64" s="3591"/>
      <c r="L64" s="3511"/>
      <c r="Z64" s="3511"/>
      <c r="AN64" s="3511"/>
      <c r="AS64" s="3511"/>
      <c r="BC64" s="3511"/>
      <c r="BH64" s="3511"/>
      <c r="BM64" s="3511"/>
      <c r="BR64" s="3511"/>
      <c r="BW64" s="3511"/>
      <c r="CG64" s="3511"/>
    </row>
    <row r="65" spans="2:85" ht="16.149999999999999" customHeight="1">
      <c r="B65" s="3987"/>
      <c r="C65" s="3585" t="s">
        <v>3799</v>
      </c>
      <c r="D65" s="3592">
        <f>D63-G58</f>
        <v>20472.29</v>
      </c>
      <c r="L65" s="3511"/>
      <c r="Z65" s="3511"/>
      <c r="AN65" s="3511"/>
      <c r="AS65" s="3511"/>
      <c r="BC65" s="3511"/>
      <c r="BH65" s="3511"/>
      <c r="BM65" s="3511"/>
      <c r="BR65" s="3511"/>
      <c r="BW65" s="3511"/>
      <c r="CG65" s="3511"/>
    </row>
    <row r="66" spans="2:85" ht="16.149999999999999" customHeight="1">
      <c r="B66" s="3987"/>
      <c r="C66" s="3585" t="s">
        <v>3800</v>
      </c>
      <c r="D66" s="3590">
        <f>D65/D63</f>
        <v>0.47671239830535711</v>
      </c>
      <c r="L66" s="3511"/>
      <c r="Z66" s="3511"/>
      <c r="AN66" s="3511"/>
      <c r="AS66" s="3511"/>
      <c r="BC66" s="3511"/>
      <c r="BH66" s="3511"/>
      <c r="BM66" s="3511"/>
      <c r="BR66" s="3511"/>
      <c r="BW66" s="3511"/>
      <c r="CG66" s="3511"/>
    </row>
    <row r="67" spans="2:85" ht="16.149999999999999" customHeight="1">
      <c r="B67" s="3593"/>
      <c r="C67" s="3594" t="s">
        <v>3801</v>
      </c>
      <c r="D67" s="3595"/>
      <c r="L67" s="3511"/>
      <c r="Z67" s="3511"/>
      <c r="AN67" s="3511"/>
      <c r="AS67" s="3511"/>
      <c r="BC67" s="3511"/>
      <c r="BH67" s="3511"/>
      <c r="BM67" s="3511"/>
      <c r="BR67" s="3511"/>
      <c r="BW67" s="3511"/>
      <c r="CG67" s="3511"/>
    </row>
    <row r="68" spans="2:85" ht="19.149999999999999" customHeight="1">
      <c r="L68" s="3511"/>
      <c r="Z68" s="3511"/>
      <c r="AN68" s="3511"/>
      <c r="AS68" s="3511"/>
      <c r="BC68" s="3511"/>
      <c r="BH68" s="3511"/>
      <c r="BM68" s="3511"/>
      <c r="BR68" s="3511"/>
      <c r="BW68" s="3511"/>
      <c r="CG68" s="3511"/>
    </row>
    <row r="69" spans="2:85" ht="19.149999999999999" customHeight="1">
      <c r="D69" s="3596"/>
      <c r="L69" s="3511"/>
      <c r="Z69" s="3511"/>
      <c r="AN69" s="3511"/>
      <c r="AS69" s="3511"/>
      <c r="BC69" s="3511"/>
      <c r="BH69" s="3511"/>
      <c r="BM69" s="3511"/>
      <c r="BR69" s="3511"/>
      <c r="BW69" s="3511"/>
      <c r="CG69" s="3511"/>
    </row>
    <row r="70" spans="2:85" ht="19.149999999999999" customHeight="1">
      <c r="C70" s="3511"/>
      <c r="D70" s="3583"/>
      <c r="L70" s="3511"/>
      <c r="Z70" s="3511"/>
      <c r="AN70" s="3511"/>
      <c r="AS70" s="3511"/>
      <c r="BC70" s="3511"/>
      <c r="BH70" s="3511"/>
      <c r="BM70" s="3511"/>
      <c r="BR70" s="3511"/>
      <c r="BW70" s="3511"/>
      <c r="CG70" s="3511"/>
    </row>
    <row r="71" spans="2:85" ht="19.149999999999999" customHeight="1">
      <c r="C71" s="3511"/>
      <c r="D71" s="3583"/>
      <c r="L71" s="3511"/>
      <c r="Z71" s="3511"/>
      <c r="AN71" s="3511"/>
      <c r="AS71" s="3511"/>
      <c r="BC71" s="3511"/>
      <c r="BH71" s="3511"/>
      <c r="BM71" s="3511"/>
      <c r="BR71" s="3511"/>
      <c r="BW71" s="3511"/>
      <c r="CG71" s="3511"/>
    </row>
    <row r="72" spans="2:85" ht="19.149999999999999" customHeight="1">
      <c r="C72" s="3511"/>
      <c r="D72" s="3583"/>
      <c r="L72" s="3511"/>
      <c r="Z72" s="3511"/>
      <c r="AN72" s="3511"/>
      <c r="AS72" s="3511"/>
      <c r="BC72" s="3511"/>
      <c r="BH72" s="3511"/>
      <c r="BM72" s="3511"/>
      <c r="BR72" s="3511"/>
      <c r="BW72" s="3511"/>
      <c r="CG72" s="3511"/>
    </row>
    <row r="73" spans="2:85">
      <c r="C73" s="3511"/>
      <c r="D73" s="3583"/>
      <c r="L73" s="3511"/>
      <c r="Z73" s="3511"/>
      <c r="AN73" s="3511"/>
      <c r="AS73" s="3511"/>
      <c r="BC73" s="3511"/>
      <c r="BH73" s="3511"/>
      <c r="BM73" s="3511"/>
      <c r="BR73" s="3511"/>
      <c r="BW73" s="3511"/>
      <c r="CG73" s="3511"/>
    </row>
    <row r="74" spans="2:85">
      <c r="C74" s="3511"/>
      <c r="D74" s="3583"/>
      <c r="L74" s="3511"/>
      <c r="Z74" s="3511"/>
      <c r="AN74" s="3511"/>
      <c r="AS74" s="3511"/>
      <c r="BC74" s="3511"/>
      <c r="BH74" s="3511"/>
      <c r="BM74" s="3511"/>
      <c r="BR74" s="3511"/>
      <c r="BW74" s="3511"/>
      <c r="CG74" s="3511"/>
    </row>
    <row r="75" spans="2:85">
      <c r="C75" s="3511"/>
      <c r="D75" s="3583"/>
      <c r="L75" s="3511"/>
      <c r="Z75" s="3511"/>
      <c r="AN75" s="3511"/>
      <c r="AS75" s="3511"/>
      <c r="BC75" s="3511"/>
      <c r="BH75" s="3511"/>
      <c r="BM75" s="3511"/>
      <c r="BR75" s="3511"/>
      <c r="BW75" s="3511"/>
      <c r="CG75" s="3511"/>
    </row>
    <row r="76" spans="2:85">
      <c r="C76" s="3511"/>
      <c r="D76" s="3583"/>
      <c r="L76" s="3511"/>
      <c r="Z76" s="3511"/>
      <c r="AN76" s="3511"/>
      <c r="AS76" s="3511"/>
      <c r="BC76" s="3511"/>
      <c r="BH76" s="3511"/>
      <c r="BM76" s="3511"/>
      <c r="BR76" s="3511"/>
      <c r="BW76" s="3511"/>
      <c r="CG76" s="3511"/>
    </row>
    <row r="77" spans="2:85">
      <c r="C77" s="3511"/>
      <c r="D77" s="3583"/>
      <c r="L77" s="3511"/>
      <c r="Z77" s="3511"/>
      <c r="AN77" s="3511"/>
      <c r="AS77" s="3511"/>
      <c r="BC77" s="3511"/>
      <c r="BH77" s="3511"/>
      <c r="BM77" s="3511"/>
      <c r="BR77" s="3511"/>
      <c r="BW77" s="3511"/>
      <c r="CG77" s="3511"/>
    </row>
    <row r="78" spans="2:85">
      <c r="C78" s="3511"/>
      <c r="D78" s="3583"/>
      <c r="L78" s="3511"/>
      <c r="Z78" s="3511"/>
      <c r="AN78" s="3511"/>
      <c r="AS78" s="3511"/>
      <c r="BC78" s="3511"/>
      <c r="BH78" s="3511"/>
      <c r="BM78" s="3511"/>
      <c r="BR78" s="3511"/>
      <c r="BW78" s="3511"/>
      <c r="CG78" s="3511"/>
    </row>
    <row r="79" spans="2:85">
      <c r="C79" s="3511"/>
      <c r="D79" s="3583"/>
      <c r="L79" s="3511"/>
      <c r="Z79" s="3511"/>
      <c r="AN79" s="3511"/>
      <c r="AS79" s="3511"/>
      <c r="BC79" s="3511"/>
      <c r="BH79" s="3511"/>
      <c r="BM79" s="3511"/>
      <c r="BR79" s="3511"/>
      <c r="BW79" s="3511"/>
      <c r="CG79" s="3511"/>
    </row>
    <row r="80" spans="2:85">
      <c r="C80" s="3511"/>
      <c r="D80" s="3583"/>
      <c r="L80" s="3511"/>
      <c r="Z80" s="3511"/>
      <c r="AN80" s="3511"/>
      <c r="AS80" s="3511"/>
      <c r="BC80" s="3511"/>
      <c r="BH80" s="3511"/>
      <c r="BM80" s="3511"/>
      <c r="BR80" s="3511"/>
      <c r="BW80" s="3511"/>
      <c r="CG80" s="3511"/>
    </row>
    <row r="81" spans="3:85">
      <c r="C81" s="3511"/>
      <c r="D81" s="3583"/>
      <c r="L81" s="3511"/>
      <c r="Z81" s="3511"/>
      <c r="AN81" s="3511"/>
      <c r="AS81" s="3511"/>
      <c r="BC81" s="3511"/>
      <c r="BH81" s="3511"/>
      <c r="BM81" s="3511"/>
      <c r="BR81" s="3511"/>
      <c r="BW81" s="3511"/>
      <c r="CG81" s="3511"/>
    </row>
    <row r="82" spans="3:85">
      <c r="L82" s="3511"/>
      <c r="Z82" s="3511"/>
      <c r="AN82" s="3511"/>
      <c r="AS82" s="3511"/>
      <c r="BC82" s="3511"/>
      <c r="BH82" s="3511"/>
      <c r="BM82" s="3511"/>
      <c r="BR82" s="3511"/>
      <c r="BW82" s="3511"/>
      <c r="CG82" s="3511"/>
    </row>
  </sheetData>
  <mergeCells count="42">
    <mergeCell ref="Z2:CH2"/>
    <mergeCell ref="A3:A4"/>
    <mergeCell ref="B3:B4"/>
    <mergeCell ref="C3:C4"/>
    <mergeCell ref="D3:D4"/>
    <mergeCell ref="CC3:CG3"/>
    <mergeCell ref="CH3:CH4"/>
    <mergeCell ref="A1:V1"/>
    <mergeCell ref="A2:V2"/>
    <mergeCell ref="W2:W3"/>
    <mergeCell ref="X2:X3"/>
    <mergeCell ref="Y2:Y3"/>
    <mergeCell ref="R3:R4"/>
    <mergeCell ref="E3:E4"/>
    <mergeCell ref="F3:F4"/>
    <mergeCell ref="G3:G4"/>
    <mergeCell ref="H3:H4"/>
    <mergeCell ref="I3:I4"/>
    <mergeCell ref="J3:J4"/>
    <mergeCell ref="BL20:BL21"/>
    <mergeCell ref="AJ3:AN3"/>
    <mergeCell ref="AO3:AS3"/>
    <mergeCell ref="AT3:AX3"/>
    <mergeCell ref="AY3:BC3"/>
    <mergeCell ref="BD3:BH3"/>
    <mergeCell ref="BI3:BM3"/>
    <mergeCell ref="C58:D58"/>
    <mergeCell ref="B61:B66"/>
    <mergeCell ref="BN3:BR3"/>
    <mergeCell ref="BS3:BW3"/>
    <mergeCell ref="BX3:CB3"/>
    <mergeCell ref="S3:S4"/>
    <mergeCell ref="T3:T4"/>
    <mergeCell ref="U3:U4"/>
    <mergeCell ref="V3:V4"/>
    <mergeCell ref="Z3:AD3"/>
    <mergeCell ref="AE3:AI3"/>
    <mergeCell ref="K3:K4"/>
    <mergeCell ref="L3:L4"/>
    <mergeCell ref="M3:M4"/>
    <mergeCell ref="N3:N4"/>
    <mergeCell ref="O3:Q3"/>
  </mergeCells>
  <phoneticPr fontId="135" type="noConversion"/>
  <printOptions horizontalCentered="1"/>
  <pageMargins left="0.39370078740157483" right="0.15748031496062992" top="0.35433070866141736" bottom="0.19685039370078741" header="0.31496062992125984" footer="0.19685039370078741"/>
  <pageSetup paperSize="9" scale="73"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47" t="str">
        <f>IF(项目基本情况!B9="房地产市场价值","估价结果一览表","结果表-2")</f>
        <v>估价结果一览表</v>
      </c>
      <c r="B1" s="3647"/>
      <c r="C1" s="3647"/>
      <c r="D1" s="3647"/>
      <c r="E1" s="3647"/>
      <c r="F1" s="3647"/>
      <c r="G1" s="3647"/>
      <c r="H1" s="3647"/>
      <c r="I1" s="3647"/>
    </row>
    <row r="2" spans="1:9" ht="30" customHeight="1" thickTop="1">
      <c r="A2" s="3648" t="s">
        <v>928</v>
      </c>
      <c r="B2" s="3648" t="s">
        <v>929</v>
      </c>
      <c r="C2" s="3648" t="s">
        <v>930</v>
      </c>
      <c r="D2" s="3648" t="str">
        <f>结果表!D116</f>
        <v>出让国有建设用地使用权价值</v>
      </c>
      <c r="E2" s="3648"/>
      <c r="F2" s="3648" t="str">
        <f>结果表!F116</f>
        <v>在建建筑物价值</v>
      </c>
      <c r="G2" s="3648"/>
      <c r="H2" s="3648" t="str">
        <f>IF(项目基本情况!B9="房地产市场价值","房地产市场价值","房地产价值")</f>
        <v>房地产市场价值</v>
      </c>
      <c r="I2" s="3648"/>
    </row>
    <row r="3" spans="1:9" ht="15">
      <c r="A3" s="3649"/>
      <c r="B3" s="3649"/>
      <c r="C3" s="3649"/>
      <c r="D3" s="854" t="s">
        <v>925</v>
      </c>
      <c r="E3" s="854" t="s">
        <v>931</v>
      </c>
      <c r="F3" s="854" t="s">
        <v>925</v>
      </c>
      <c r="G3" s="854" t="s">
        <v>926</v>
      </c>
      <c r="H3" s="854" t="s">
        <v>925</v>
      </c>
      <c r="I3" s="854" t="s">
        <v>926</v>
      </c>
    </row>
    <row r="4" spans="1:9" ht="15">
      <c r="A4" s="1505" t="str">
        <f>项目基本情况!S2</f>
        <v>北京市房地产</v>
      </c>
      <c r="B4" s="854">
        <f>项目基本情况!C17</f>
        <v>5605.5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49" t="s">
        <v>927</v>
      </c>
      <c r="B5" s="3649"/>
      <c r="C5" s="3649"/>
      <c r="D5" s="3649" t="e">
        <f ca="1">结果表!D119</f>
        <v>#REF!</v>
      </c>
      <c r="E5" s="3649"/>
      <c r="F5" s="3649" t="e">
        <f ca="1">结果表!F119</f>
        <v>#REF!</v>
      </c>
      <c r="G5" s="3649"/>
      <c r="H5" s="3649" t="e">
        <f ca="1">结果表!H119</f>
        <v>#REF!</v>
      </c>
      <c r="I5" s="3649"/>
    </row>
    <row r="6" spans="1:9" ht="15.75">
      <c r="A6" s="3650" t="str">
        <f>结果表!A120</f>
        <v/>
      </c>
      <c r="B6" s="3650"/>
      <c r="C6" s="3650"/>
      <c r="D6" s="3650">
        <f>结果表!D120</f>
        <v>0</v>
      </c>
      <c r="E6" s="3650"/>
      <c r="F6" s="3650"/>
      <c r="G6" s="3650"/>
      <c r="H6" s="3650"/>
      <c r="I6" s="3650"/>
    </row>
    <row r="7" spans="1:9" ht="15">
      <c r="A7" s="3649" t="s">
        <v>927</v>
      </c>
      <c r="B7" s="3649"/>
      <c r="C7" s="3649"/>
      <c r="D7" s="3651" t="str">
        <f>结果表!D121</f>
        <v>零元整</v>
      </c>
      <c r="E7" s="3652"/>
      <c r="F7" s="3652"/>
      <c r="G7" s="3652"/>
      <c r="H7" s="3652"/>
      <c r="I7" s="3653"/>
    </row>
    <row r="8" spans="1:9" ht="15.75">
      <c r="A8" s="3650" t="str">
        <f>结果表!A122</f>
        <v/>
      </c>
      <c r="B8" s="3650"/>
      <c r="C8" s="3650"/>
      <c r="D8" s="3650" t="e">
        <f ca="1">结果表!D122</f>
        <v>#REF!</v>
      </c>
      <c r="E8" s="3650"/>
      <c r="F8" s="3650"/>
      <c r="G8" s="3650"/>
      <c r="H8" s="3650"/>
      <c r="I8" s="3650"/>
    </row>
    <row r="9" spans="1:9" ht="15">
      <c r="A9" s="3649" t="s">
        <v>927</v>
      </c>
      <c r="B9" s="3649"/>
      <c r="C9" s="3649"/>
      <c r="D9" s="3649" t="e">
        <f ca="1">结果表!D123</f>
        <v>#REF!</v>
      </c>
      <c r="E9" s="3649"/>
      <c r="F9" s="3649"/>
      <c r="G9" s="3649"/>
      <c r="H9" s="3649"/>
      <c r="I9" s="3649"/>
    </row>
    <row r="10" spans="1:9" ht="15.75">
      <c r="A10" s="3650" t="str">
        <f>结果表!A124</f>
        <v/>
      </c>
      <c r="B10" s="3650"/>
      <c r="C10" s="3650"/>
      <c r="D10" s="3650" t="str">
        <f>结果表!D124</f>
        <v>——</v>
      </c>
      <c r="E10" s="3650"/>
      <c r="F10" s="3650"/>
      <c r="G10" s="3650"/>
      <c r="H10" s="3650"/>
      <c r="I10" s="3650"/>
    </row>
    <row r="11" spans="1:9" ht="15">
      <c r="A11" s="3649" t="s">
        <v>927</v>
      </c>
      <c r="B11" s="3649"/>
      <c r="C11" s="3649"/>
      <c r="D11" s="3649" t="e">
        <f>结果表!D125</f>
        <v>#VALUE!</v>
      </c>
      <c r="E11" s="3649"/>
      <c r="F11" s="3649"/>
      <c r="G11" s="3649"/>
      <c r="H11" s="3649"/>
      <c r="I11" s="3649"/>
    </row>
    <row r="12" spans="1:9" ht="15.75">
      <c r="A12" s="3650" t="str">
        <f>结果表!A126</f>
        <v/>
      </c>
      <c r="B12" s="3650"/>
      <c r="C12" s="3650"/>
      <c r="D12" s="3650" t="str">
        <f>结果表!D126</f>
        <v>——</v>
      </c>
      <c r="E12" s="3650"/>
      <c r="F12" s="3650"/>
      <c r="G12" s="3650"/>
      <c r="H12" s="3650"/>
      <c r="I12" s="3650"/>
    </row>
    <row r="13" spans="1:9" ht="15.75" thickBot="1">
      <c r="A13" s="3654" t="s">
        <v>927</v>
      </c>
      <c r="B13" s="3654"/>
      <c r="C13" s="3654"/>
      <c r="D13" s="3654" t="e">
        <f>结果表!D127</f>
        <v>#VALUE!</v>
      </c>
      <c r="E13" s="3654"/>
      <c r="F13" s="3654"/>
      <c r="G13" s="3654"/>
      <c r="H13" s="3654"/>
      <c r="I13" s="3654"/>
    </row>
    <row r="14" spans="1:9" ht="15" thickTop="1">
      <c r="A14" s="3655" t="s">
        <v>932</v>
      </c>
      <c r="B14" s="3655"/>
      <c r="C14" s="3655"/>
      <c r="D14" s="3655"/>
      <c r="E14" s="3655"/>
      <c r="F14" s="3655"/>
      <c r="G14" s="3655"/>
      <c r="H14" s="3655"/>
      <c r="I14" s="365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42"/>
  <sheetViews>
    <sheetView workbookViewId="0">
      <selection activeCell="N14" sqref="N14"/>
    </sheetView>
  </sheetViews>
  <sheetFormatPr defaultColWidth="9" defaultRowHeight="13.5"/>
  <cols>
    <col min="1" max="1" width="12.375" style="3490" customWidth="1"/>
    <col min="2" max="2" width="11.375" style="3490" customWidth="1"/>
    <col min="3" max="3" width="18.5" style="3490" customWidth="1"/>
    <col min="4" max="4" width="11.625" style="3490" customWidth="1"/>
    <col min="5" max="5" width="17.75" style="3490" customWidth="1"/>
    <col min="6" max="6" width="15.25" style="3490" hidden="1" customWidth="1"/>
    <col min="7" max="7" width="11.875" style="3490" customWidth="1"/>
    <col min="8" max="8" width="13" style="3490" customWidth="1"/>
    <col min="9" max="9" width="14.5" style="3490" hidden="1" customWidth="1"/>
    <col min="10" max="10" width="12.5" style="3490" customWidth="1"/>
    <col min="11" max="11" width="12.375" style="3490" customWidth="1"/>
    <col min="12" max="12" width="6.5" style="3490" customWidth="1"/>
    <col min="13" max="13" width="15" style="3490" customWidth="1"/>
    <col min="14" max="14" width="21.625" style="3490" customWidth="1"/>
    <col min="15" max="15" width="9.5" style="3490" bestFit="1" customWidth="1"/>
    <col min="16" max="16384" width="9" style="3490"/>
  </cols>
  <sheetData>
    <row r="1" spans="1:16" ht="33" customHeight="1">
      <c r="A1" s="4032" t="s">
        <v>3473</v>
      </c>
      <c r="B1" s="4032"/>
      <c r="C1" s="4032"/>
      <c r="D1" s="4032"/>
      <c r="E1" s="4032"/>
      <c r="F1" s="4032"/>
      <c r="G1" s="4032"/>
      <c r="H1" s="4032"/>
      <c r="I1" s="4032"/>
      <c r="J1" s="4032"/>
      <c r="K1" s="4032"/>
      <c r="L1" s="4032"/>
      <c r="M1" s="4032"/>
      <c r="N1" s="3489"/>
    </row>
    <row r="2" spans="1:16" ht="32.25" customHeight="1">
      <c r="A2" s="3491" t="s">
        <v>3474</v>
      </c>
      <c r="B2" s="3492" t="s">
        <v>3475</v>
      </c>
      <c r="C2" s="3492" t="s">
        <v>3476</v>
      </c>
      <c r="D2" s="3492" t="s">
        <v>3477</v>
      </c>
      <c r="E2" s="3492" t="s">
        <v>3478</v>
      </c>
      <c r="F2" s="3492" t="s">
        <v>3479</v>
      </c>
      <c r="G2" s="3492" t="s">
        <v>3480</v>
      </c>
      <c r="H2" s="3492" t="s">
        <v>3481</v>
      </c>
      <c r="I2" s="3492" t="s">
        <v>3479</v>
      </c>
      <c r="J2" s="3492" t="s">
        <v>3482</v>
      </c>
      <c r="K2" s="3492" t="s">
        <v>3483</v>
      </c>
      <c r="L2" s="3492" t="s">
        <v>3484</v>
      </c>
      <c r="M2" s="3492" t="s">
        <v>3485</v>
      </c>
      <c r="N2" s="3493"/>
    </row>
    <row r="3" spans="1:16" ht="28.5" customHeight="1">
      <c r="A3" s="3491" t="s">
        <v>3486</v>
      </c>
      <c r="B3" s="3492">
        <v>19736.88</v>
      </c>
      <c r="C3" s="3492" t="s">
        <v>3487</v>
      </c>
      <c r="D3" s="3492">
        <v>19842.759999999998</v>
      </c>
      <c r="E3" s="3492" t="s">
        <v>3488</v>
      </c>
      <c r="F3" s="3492">
        <v>37661558.479999997</v>
      </c>
      <c r="G3" s="3492">
        <f>F3/10000</f>
        <v>3766.1558479999999</v>
      </c>
      <c r="H3" s="3492">
        <v>163.80000000000001</v>
      </c>
      <c r="I3" s="3492">
        <v>39544636.403999999</v>
      </c>
      <c r="J3" s="3492">
        <f>I3/10000</f>
        <v>3954.4636403999998</v>
      </c>
      <c r="K3" s="3492" t="s">
        <v>3489</v>
      </c>
      <c r="L3" s="3492" t="s">
        <v>3490</v>
      </c>
      <c r="M3" s="3492" t="s">
        <v>3491</v>
      </c>
      <c r="N3" s="3493"/>
      <c r="P3" s="3492" t="s">
        <v>3492</v>
      </c>
    </row>
    <row r="4" spans="1:16" ht="18.75" hidden="1" customHeight="1">
      <c r="A4" s="3491"/>
      <c r="B4" s="3492"/>
      <c r="C4" s="3492"/>
      <c r="D4" s="3492"/>
      <c r="E4" s="3492"/>
      <c r="F4" s="3492"/>
      <c r="G4" s="3492">
        <f t="shared" ref="G4:G37" si="0">F4/10000</f>
        <v>0</v>
      </c>
      <c r="H4" s="3492"/>
      <c r="I4" s="3492"/>
      <c r="J4" s="3492">
        <f t="shared" ref="J4:J37" si="1">I4/10000</f>
        <v>0</v>
      </c>
      <c r="K4" s="3492"/>
      <c r="L4" s="3492"/>
      <c r="M4" s="3492"/>
      <c r="N4" s="3493"/>
    </row>
    <row r="5" spans="1:16" ht="26.25" customHeight="1">
      <c r="A5" s="3491" t="s">
        <v>3493</v>
      </c>
      <c r="B5" s="3492"/>
      <c r="C5" s="3492"/>
      <c r="D5" s="3492"/>
      <c r="E5" s="3492"/>
      <c r="F5" s="3492"/>
      <c r="G5" s="3492">
        <f t="shared" si="0"/>
        <v>0</v>
      </c>
      <c r="H5" s="3492"/>
      <c r="I5" s="3492"/>
      <c r="J5" s="3492">
        <f t="shared" si="1"/>
        <v>0</v>
      </c>
      <c r="K5" s="3492"/>
      <c r="L5" s="3492"/>
      <c r="M5" s="3492"/>
      <c r="N5" s="3493"/>
    </row>
    <row r="6" spans="1:16" ht="18.75" customHeight="1">
      <c r="A6" s="3491">
        <v>101</v>
      </c>
      <c r="B6" s="3492">
        <v>696.41</v>
      </c>
      <c r="C6" s="4031" t="s">
        <v>3494</v>
      </c>
      <c r="D6" s="4031">
        <v>871.67</v>
      </c>
      <c r="E6" s="4028" t="s">
        <v>3495</v>
      </c>
      <c r="F6" s="4028">
        <v>2840601.96</v>
      </c>
      <c r="G6" s="4028">
        <f t="shared" si="0"/>
        <v>284.06019600000002</v>
      </c>
      <c r="H6" s="4028">
        <v>298.63900000000001</v>
      </c>
      <c r="I6" s="4028">
        <v>3123775.8855599998</v>
      </c>
      <c r="J6" s="4028">
        <f t="shared" si="1"/>
        <v>312.37758855599998</v>
      </c>
      <c r="K6" s="4028" t="s">
        <v>3496</v>
      </c>
      <c r="L6" s="4028" t="s">
        <v>3497</v>
      </c>
      <c r="M6" s="4028" t="s">
        <v>3498</v>
      </c>
      <c r="N6" s="3493"/>
    </row>
    <row r="7" spans="1:16" ht="18.75" customHeight="1">
      <c r="A7" s="3491">
        <v>108</v>
      </c>
      <c r="B7" s="3492">
        <v>155.96</v>
      </c>
      <c r="C7" s="4031"/>
      <c r="D7" s="4031"/>
      <c r="E7" s="4030"/>
      <c r="F7" s="4030"/>
      <c r="G7" s="4030">
        <f t="shared" si="0"/>
        <v>0</v>
      </c>
      <c r="H7" s="4030"/>
      <c r="I7" s="4030"/>
      <c r="J7" s="4030">
        <f t="shared" si="1"/>
        <v>0</v>
      </c>
      <c r="K7" s="4030"/>
      <c r="L7" s="4030"/>
      <c r="M7" s="4030"/>
      <c r="N7" s="3493"/>
    </row>
    <row r="8" spans="1:16" ht="15.75" customHeight="1">
      <c r="A8" s="3491">
        <v>102</v>
      </c>
      <c r="B8" s="3492">
        <v>855.05</v>
      </c>
      <c r="C8" s="4031" t="s">
        <v>3499</v>
      </c>
      <c r="D8" s="4031">
        <v>1099.07</v>
      </c>
      <c r="E8" s="4028" t="s">
        <v>3500</v>
      </c>
      <c r="F8" s="4028">
        <v>3157408.3</v>
      </c>
      <c r="G8" s="4028">
        <f t="shared" si="0"/>
        <v>315.74082999999996</v>
      </c>
      <c r="H8" s="4028">
        <v>251.37</v>
      </c>
      <c r="I8" s="4028">
        <v>3315278.7108</v>
      </c>
      <c r="J8" s="4028">
        <f t="shared" si="1"/>
        <v>331.52787108000001</v>
      </c>
      <c r="K8" s="4028" t="s">
        <v>3496</v>
      </c>
      <c r="L8" s="4028" t="s">
        <v>3501</v>
      </c>
      <c r="M8" s="4028" t="s">
        <v>3502</v>
      </c>
      <c r="N8" s="3493"/>
    </row>
    <row r="9" spans="1:16" ht="15.75" customHeight="1">
      <c r="A9" s="3491">
        <v>103</v>
      </c>
      <c r="B9" s="3492">
        <v>67.11</v>
      </c>
      <c r="C9" s="4031"/>
      <c r="D9" s="4031"/>
      <c r="E9" s="4029"/>
      <c r="F9" s="4029"/>
      <c r="G9" s="4029">
        <f t="shared" si="0"/>
        <v>0</v>
      </c>
      <c r="H9" s="4029"/>
      <c r="I9" s="4029"/>
      <c r="J9" s="4029">
        <f t="shared" si="1"/>
        <v>0</v>
      </c>
      <c r="K9" s="4029"/>
      <c r="L9" s="4029"/>
      <c r="M9" s="4029"/>
      <c r="N9" s="3493"/>
    </row>
    <row r="10" spans="1:16" ht="15.75" customHeight="1">
      <c r="A10" s="3491">
        <v>105</v>
      </c>
      <c r="B10" s="3492">
        <v>96.32</v>
      </c>
      <c r="C10" s="4031"/>
      <c r="D10" s="4031"/>
      <c r="E10" s="4029"/>
      <c r="F10" s="4029"/>
      <c r="G10" s="4029">
        <f t="shared" si="0"/>
        <v>0</v>
      </c>
      <c r="H10" s="4029"/>
      <c r="I10" s="4029"/>
      <c r="J10" s="4029">
        <f t="shared" si="1"/>
        <v>0</v>
      </c>
      <c r="K10" s="4029"/>
      <c r="L10" s="4029"/>
      <c r="M10" s="4029"/>
      <c r="N10" s="3493"/>
    </row>
    <row r="11" spans="1:16" ht="15.75" customHeight="1">
      <c r="A11" s="3491">
        <v>106</v>
      </c>
      <c r="B11" s="3492">
        <v>97.46</v>
      </c>
      <c r="C11" s="4031"/>
      <c r="D11" s="4031"/>
      <c r="E11" s="4029"/>
      <c r="F11" s="4029"/>
      <c r="G11" s="4029">
        <f t="shared" si="0"/>
        <v>0</v>
      </c>
      <c r="H11" s="4029"/>
      <c r="I11" s="4029"/>
      <c r="J11" s="4029">
        <f t="shared" si="1"/>
        <v>0</v>
      </c>
      <c r="K11" s="4029"/>
      <c r="L11" s="4029"/>
      <c r="M11" s="4029"/>
      <c r="N11" s="3493"/>
    </row>
    <row r="12" spans="1:16" ht="15.75" customHeight="1">
      <c r="A12" s="3491">
        <v>107</v>
      </c>
      <c r="B12" s="3492">
        <v>50.24</v>
      </c>
      <c r="C12" s="4031"/>
      <c r="D12" s="4031"/>
      <c r="E12" s="4030"/>
      <c r="F12" s="4030"/>
      <c r="G12" s="4030">
        <f t="shared" si="0"/>
        <v>0</v>
      </c>
      <c r="H12" s="4030"/>
      <c r="I12" s="4030"/>
      <c r="J12" s="4030">
        <f t="shared" si="1"/>
        <v>0</v>
      </c>
      <c r="K12" s="4030"/>
      <c r="L12" s="4030"/>
      <c r="M12" s="4030"/>
      <c r="N12" s="3493"/>
    </row>
    <row r="13" spans="1:16" ht="35.25" customHeight="1">
      <c r="A13" s="3491">
        <v>309</v>
      </c>
      <c r="B13" s="3492">
        <v>655.65</v>
      </c>
      <c r="C13" s="3492" t="s">
        <v>3503</v>
      </c>
      <c r="D13" s="3492">
        <v>655.65</v>
      </c>
      <c r="E13" s="3492" t="s">
        <v>3504</v>
      </c>
      <c r="F13" s="3492">
        <f>D13*200*12</f>
        <v>1573560</v>
      </c>
      <c r="G13" s="3492">
        <f>F13/10000</f>
        <v>157.35599999999999</v>
      </c>
      <c r="H13" s="3492">
        <v>210</v>
      </c>
      <c r="I13" s="3492">
        <f>D13*H13*12</f>
        <v>1652238</v>
      </c>
      <c r="J13" s="3492">
        <f>I13/10000</f>
        <v>165.22380000000001</v>
      </c>
      <c r="K13" s="3492" t="s">
        <v>3505</v>
      </c>
      <c r="L13" s="3492" t="s">
        <v>3506</v>
      </c>
      <c r="M13" s="3492" t="s">
        <v>3507</v>
      </c>
      <c r="N13" s="3493"/>
    </row>
    <row r="14" spans="1:16" ht="35.25" customHeight="1">
      <c r="A14" s="3491">
        <v>310</v>
      </c>
      <c r="B14" s="3492">
        <v>688.28</v>
      </c>
      <c r="C14" s="3492" t="s">
        <v>3508</v>
      </c>
      <c r="D14" s="3492">
        <v>688.28</v>
      </c>
      <c r="E14" s="3492" t="s">
        <v>3504</v>
      </c>
      <c r="F14" s="3492">
        <f>D14*200*12</f>
        <v>1651872</v>
      </c>
      <c r="G14" s="3492">
        <f>F14/10000</f>
        <v>165.18719999999999</v>
      </c>
      <c r="H14" s="3492">
        <v>210</v>
      </c>
      <c r="I14" s="3492">
        <f>D14*H14*12</f>
        <v>1734465.5999999999</v>
      </c>
      <c r="J14" s="3492">
        <f>I14/10000</f>
        <v>173.44655999999998</v>
      </c>
      <c r="K14" s="3492" t="s">
        <v>3496</v>
      </c>
      <c r="L14" s="3492" t="s">
        <v>3501</v>
      </c>
      <c r="M14" s="3492" t="s">
        <v>3509</v>
      </c>
      <c r="N14" s="3493"/>
    </row>
    <row r="15" spans="1:16" ht="26.25" customHeight="1">
      <c r="A15" s="3491" t="s">
        <v>3510</v>
      </c>
      <c r="B15" s="3492">
        <f>SUM(B6:B14)</f>
        <v>3362.4799999999996</v>
      </c>
      <c r="C15" s="3494"/>
      <c r="D15" s="3494"/>
      <c r="E15" s="3494"/>
      <c r="F15" s="3494">
        <f>SUM(F6:F14)</f>
        <v>9223442.2599999998</v>
      </c>
      <c r="G15" s="3494">
        <f>SUM(G6:G14)</f>
        <v>922.34422599999994</v>
      </c>
      <c r="H15" s="3494"/>
      <c r="I15" s="3494">
        <f>SUM(I6:I14)</f>
        <v>9825758.1963599995</v>
      </c>
      <c r="J15" s="3494">
        <f>SUM(J6:J14)</f>
        <v>982.57581963599989</v>
      </c>
      <c r="K15" s="3494"/>
      <c r="L15" s="3494"/>
      <c r="M15" s="3494"/>
      <c r="N15" s="3493"/>
    </row>
    <row r="16" spans="1:16" ht="30.75" customHeight="1">
      <c r="A16" s="3491" t="s">
        <v>3511</v>
      </c>
      <c r="B16" s="3492"/>
      <c r="C16" s="3494"/>
      <c r="D16" s="3494"/>
      <c r="E16" s="3494"/>
      <c r="F16" s="3494"/>
      <c r="G16" s="3494"/>
      <c r="H16" s="3494"/>
      <c r="I16" s="3494"/>
      <c r="J16" s="3494"/>
      <c r="K16" s="3494"/>
      <c r="L16" s="3494"/>
      <c r="M16" s="3494"/>
      <c r="N16" s="3493"/>
    </row>
    <row r="17" spans="1:15" ht="24" customHeight="1">
      <c r="A17" s="3495" t="s">
        <v>3512</v>
      </c>
      <c r="B17" s="3492">
        <v>394.42</v>
      </c>
      <c r="C17" s="4028" t="s">
        <v>3513</v>
      </c>
      <c r="D17" s="4028">
        <v>898.45</v>
      </c>
      <c r="E17" s="4028" t="s">
        <v>3514</v>
      </c>
      <c r="F17" s="4028">
        <f>D17*246*12</f>
        <v>2652224.4000000004</v>
      </c>
      <c r="G17" s="4028">
        <f t="shared" si="0"/>
        <v>265.22244000000006</v>
      </c>
      <c r="H17" s="4028">
        <v>258.3</v>
      </c>
      <c r="I17" s="4028">
        <f>D17*H17*12</f>
        <v>2784835.62</v>
      </c>
      <c r="J17" s="4028">
        <f t="shared" si="1"/>
        <v>278.48356200000001</v>
      </c>
      <c r="K17" s="4028" t="s">
        <v>3515</v>
      </c>
      <c r="L17" s="4028" t="s">
        <v>3506</v>
      </c>
      <c r="M17" s="4028" t="s">
        <v>3516</v>
      </c>
      <c r="N17" s="3493"/>
    </row>
    <row r="18" spans="1:15" ht="24" customHeight="1">
      <c r="A18" s="3491" t="s">
        <v>3517</v>
      </c>
      <c r="B18" s="3492">
        <v>504.03</v>
      </c>
      <c r="C18" s="4030"/>
      <c r="D18" s="4030"/>
      <c r="E18" s="4030"/>
      <c r="F18" s="4030"/>
      <c r="G18" s="4030">
        <f t="shared" si="0"/>
        <v>0</v>
      </c>
      <c r="H18" s="4030"/>
      <c r="I18" s="4030"/>
      <c r="J18" s="4030">
        <f t="shared" si="1"/>
        <v>0</v>
      </c>
      <c r="K18" s="4030"/>
      <c r="L18" s="4030"/>
      <c r="M18" s="4030"/>
      <c r="N18" s="3493"/>
    </row>
    <row r="19" spans="1:15" ht="33.75" customHeight="1">
      <c r="A19" s="3491" t="s">
        <v>3518</v>
      </c>
      <c r="B19" s="3492">
        <v>489.47</v>
      </c>
      <c r="C19" s="3496"/>
      <c r="D19" s="3492">
        <v>489.47</v>
      </c>
      <c r="E19" s="3492" t="s">
        <v>3519</v>
      </c>
      <c r="F19" s="3492">
        <f>D19*231*12</f>
        <v>1356810.84</v>
      </c>
      <c r="G19" s="3492">
        <f>F19/10000</f>
        <v>135.681084</v>
      </c>
      <c r="H19" s="3496">
        <v>244.86</v>
      </c>
      <c r="I19" s="3492">
        <f>D19*H19*12</f>
        <v>1438219.4904000002</v>
      </c>
      <c r="J19" s="3492">
        <f>I19/10000</f>
        <v>143.82194904000002</v>
      </c>
      <c r="K19" s="3492" t="s">
        <v>3496</v>
      </c>
      <c r="L19" s="3492" t="s">
        <v>3506</v>
      </c>
      <c r="M19" s="3492" t="s">
        <v>3520</v>
      </c>
      <c r="N19" s="3493"/>
    </row>
    <row r="20" spans="1:15" ht="33.75" customHeight="1">
      <c r="A20" s="3491" t="s">
        <v>3521</v>
      </c>
      <c r="B20" s="3492">
        <v>339.08</v>
      </c>
      <c r="C20" s="4028" t="s">
        <v>3522</v>
      </c>
      <c r="D20" s="3492">
        <v>339.08</v>
      </c>
      <c r="E20" s="3492" t="s">
        <v>3523</v>
      </c>
      <c r="F20" s="3492">
        <f>D20*188*12</f>
        <v>764964.48</v>
      </c>
      <c r="G20" s="3492">
        <f>F20/10000</f>
        <v>76.496448000000001</v>
      </c>
      <c r="H20" s="3496">
        <v>207.27</v>
      </c>
      <c r="I20" s="3492">
        <f>D20*H20*12</f>
        <v>843373.33920000005</v>
      </c>
      <c r="J20" s="3492">
        <f t="shared" ref="J20" si="2">I20/10000</f>
        <v>84.337333920000006</v>
      </c>
      <c r="K20" s="3492" t="s">
        <v>3496</v>
      </c>
      <c r="L20" s="3492" t="s">
        <v>3524</v>
      </c>
      <c r="M20" s="3492" t="s">
        <v>3525</v>
      </c>
      <c r="N20" s="3493"/>
    </row>
    <row r="21" spans="1:15" ht="33.75" customHeight="1">
      <c r="A21" s="3491" t="s">
        <v>3526</v>
      </c>
      <c r="B21" s="3492">
        <v>583.51</v>
      </c>
      <c r="C21" s="4030"/>
      <c r="D21" s="3497">
        <v>583.51</v>
      </c>
      <c r="E21" s="3492" t="s">
        <v>3523</v>
      </c>
      <c r="F21" s="3492">
        <f>D21*188*12</f>
        <v>1316398.56</v>
      </c>
      <c r="G21" s="3492">
        <f t="shared" si="0"/>
        <v>131.63985600000001</v>
      </c>
      <c r="H21" s="3492">
        <v>207.27</v>
      </c>
      <c r="I21" s="3492">
        <f>D21*H21*12</f>
        <v>1451329.4124</v>
      </c>
      <c r="J21" s="3492">
        <f t="shared" si="1"/>
        <v>145.13294124000001</v>
      </c>
      <c r="K21" s="3492" t="s">
        <v>3496</v>
      </c>
      <c r="L21" s="3492" t="s">
        <v>3524</v>
      </c>
      <c r="M21" s="3492" t="s">
        <v>3525</v>
      </c>
      <c r="N21" s="3493"/>
      <c r="O21" s="3497">
        <v>922.59</v>
      </c>
    </row>
    <row r="22" spans="1:15" ht="33.75" customHeight="1">
      <c r="A22" s="3491" t="s">
        <v>3527</v>
      </c>
      <c r="B22" s="3492">
        <v>746.53</v>
      </c>
      <c r="C22" s="4031" t="s">
        <v>3528</v>
      </c>
      <c r="D22" s="4031">
        <v>940.83</v>
      </c>
      <c r="E22" s="4028" t="s">
        <v>3504</v>
      </c>
      <c r="F22" s="4028">
        <f>D22*200*12</f>
        <v>2257992</v>
      </c>
      <c r="G22" s="4028">
        <f t="shared" si="0"/>
        <v>225.79920000000001</v>
      </c>
      <c r="H22" s="4028">
        <v>210</v>
      </c>
      <c r="I22" s="4028">
        <f>D22*H22*12</f>
        <v>2370891.6</v>
      </c>
      <c r="J22" s="4028">
        <f t="shared" si="1"/>
        <v>237.08916000000002</v>
      </c>
      <c r="K22" s="4028" t="s">
        <v>3529</v>
      </c>
      <c r="L22" s="4028" t="s">
        <v>3524</v>
      </c>
      <c r="M22" s="4028" t="s">
        <v>3530</v>
      </c>
      <c r="N22" s="3493"/>
    </row>
    <row r="23" spans="1:15" ht="33.75" customHeight="1">
      <c r="A23" s="3491" t="s">
        <v>3531</v>
      </c>
      <c r="B23" s="3492">
        <v>191.3</v>
      </c>
      <c r="C23" s="4031"/>
      <c r="D23" s="4031"/>
      <c r="E23" s="4030"/>
      <c r="F23" s="4030"/>
      <c r="G23" s="4030">
        <f t="shared" si="0"/>
        <v>0</v>
      </c>
      <c r="H23" s="4030"/>
      <c r="I23" s="4030"/>
      <c r="J23" s="4030">
        <f t="shared" si="1"/>
        <v>0</v>
      </c>
      <c r="K23" s="4030"/>
      <c r="L23" s="4030"/>
      <c r="M23" s="4030"/>
      <c r="N23" s="3493"/>
    </row>
    <row r="24" spans="1:15" ht="33.75" customHeight="1">
      <c r="A24" s="3491" t="s">
        <v>3532</v>
      </c>
      <c r="B24" s="3492">
        <v>212.06</v>
      </c>
      <c r="C24" s="3492" t="s">
        <v>3533</v>
      </c>
      <c r="D24" s="3492">
        <v>629.64</v>
      </c>
      <c r="E24" s="3492" t="s">
        <v>3534</v>
      </c>
      <c r="F24" s="3492">
        <f>D24*126*12</f>
        <v>952015.67999999993</v>
      </c>
      <c r="G24" s="3492">
        <f t="shared" si="0"/>
        <v>95.201567999999995</v>
      </c>
      <c r="H24" s="3492">
        <v>132.30000000000001</v>
      </c>
      <c r="I24" s="3492">
        <f>D24*H24*12</f>
        <v>999616.46400000004</v>
      </c>
      <c r="J24" s="3492">
        <f t="shared" si="1"/>
        <v>99.961646400000006</v>
      </c>
      <c r="K24" s="3492" t="s">
        <v>3496</v>
      </c>
      <c r="L24" s="3492" t="s">
        <v>3497</v>
      </c>
      <c r="M24" s="3492" t="s">
        <v>3535</v>
      </c>
      <c r="N24" s="3493"/>
    </row>
    <row r="25" spans="1:15" ht="18.75" customHeight="1">
      <c r="A25" s="3491" t="s">
        <v>3536</v>
      </c>
      <c r="B25" s="3492">
        <f>SUM(B17:B24)</f>
        <v>3460.4</v>
      </c>
      <c r="C25" s="3492"/>
      <c r="D25" s="3492"/>
      <c r="E25" s="3492"/>
      <c r="F25" s="3492">
        <f>SUM(F17:F24)</f>
        <v>9300405.9600000009</v>
      </c>
      <c r="G25" s="3492">
        <f t="shared" si="0"/>
        <v>930.04059600000005</v>
      </c>
      <c r="H25" s="3492"/>
      <c r="I25" s="3492">
        <f>SUM(I17:I24)</f>
        <v>9888265.9260000009</v>
      </c>
      <c r="J25" s="3492">
        <f t="shared" si="1"/>
        <v>988.82659260000014</v>
      </c>
      <c r="K25" s="3492"/>
      <c r="L25" s="3492"/>
      <c r="M25" s="3492"/>
      <c r="N25" s="3493"/>
    </row>
    <row r="26" spans="1:15" ht="18.75" hidden="1" customHeight="1">
      <c r="A26" s="3491"/>
      <c r="B26" s="3492"/>
      <c r="C26" s="3492"/>
      <c r="D26" s="3492"/>
      <c r="E26" s="3492"/>
      <c r="F26" s="3492"/>
      <c r="G26" s="3492">
        <f t="shared" si="0"/>
        <v>0</v>
      </c>
      <c r="H26" s="3492"/>
      <c r="I26" s="3492"/>
      <c r="J26" s="3492">
        <f t="shared" si="1"/>
        <v>0</v>
      </c>
      <c r="K26" s="3492"/>
      <c r="L26" s="3492"/>
      <c r="M26" s="3492"/>
      <c r="N26" s="3493"/>
    </row>
    <row r="27" spans="1:15" ht="28.5" customHeight="1">
      <c r="A27" s="3491" t="s">
        <v>3537</v>
      </c>
      <c r="B27" s="3492"/>
      <c r="C27" s="3492"/>
      <c r="D27" s="3492"/>
      <c r="E27" s="3492"/>
      <c r="F27" s="3492"/>
      <c r="G27" s="3492">
        <f t="shared" si="0"/>
        <v>0</v>
      </c>
      <c r="H27" s="3492"/>
      <c r="I27" s="3492"/>
      <c r="J27" s="3492">
        <f t="shared" si="1"/>
        <v>0</v>
      </c>
      <c r="K27" s="3492"/>
      <c r="L27" s="3492"/>
      <c r="M27" s="3492"/>
      <c r="N27" s="3493"/>
    </row>
    <row r="28" spans="1:15" ht="18.75" customHeight="1">
      <c r="A28" s="3491">
        <v>101</v>
      </c>
      <c r="B28" s="3492">
        <v>490.53</v>
      </c>
      <c r="C28" s="4031" t="s">
        <v>3538</v>
      </c>
      <c r="D28" s="4031">
        <v>2327.1</v>
      </c>
      <c r="E28" s="4028" t="s">
        <v>3539</v>
      </c>
      <c r="F28" s="4028">
        <f>2327.1*230*12</f>
        <v>6422796</v>
      </c>
      <c r="G28" s="4028">
        <f t="shared" si="0"/>
        <v>642.27959999999996</v>
      </c>
      <c r="H28" s="4028">
        <v>254.52</v>
      </c>
      <c r="I28" s="4028">
        <f>D28*12*H28</f>
        <v>7107521.9039999992</v>
      </c>
      <c r="J28" s="4028">
        <f t="shared" si="1"/>
        <v>710.7521903999999</v>
      </c>
      <c r="K28" s="4028" t="s">
        <v>3540</v>
      </c>
      <c r="L28" s="4028" t="s">
        <v>3541</v>
      </c>
      <c r="M28" s="4028" t="s">
        <v>3542</v>
      </c>
      <c r="N28" s="3493"/>
    </row>
    <row r="29" spans="1:15" ht="18.75" customHeight="1">
      <c r="A29" s="3491">
        <v>102</v>
      </c>
      <c r="B29" s="3492">
        <v>548.77</v>
      </c>
      <c r="C29" s="4031"/>
      <c r="D29" s="4031"/>
      <c r="E29" s="4029"/>
      <c r="F29" s="4029"/>
      <c r="G29" s="4029">
        <f t="shared" si="0"/>
        <v>0</v>
      </c>
      <c r="H29" s="4029"/>
      <c r="I29" s="4029"/>
      <c r="J29" s="4029">
        <f t="shared" si="1"/>
        <v>0</v>
      </c>
      <c r="K29" s="4029"/>
      <c r="L29" s="4029"/>
      <c r="M29" s="4029"/>
      <c r="N29" s="3493"/>
    </row>
    <row r="30" spans="1:15" ht="18.75" customHeight="1">
      <c r="A30" s="3491">
        <v>303</v>
      </c>
      <c r="B30" s="3492">
        <v>631.85</v>
      </c>
      <c r="C30" s="4031"/>
      <c r="D30" s="4031"/>
      <c r="E30" s="4029"/>
      <c r="F30" s="4029"/>
      <c r="G30" s="4029">
        <f t="shared" si="0"/>
        <v>0</v>
      </c>
      <c r="H30" s="4029"/>
      <c r="I30" s="4029"/>
      <c r="J30" s="4029">
        <f t="shared" si="1"/>
        <v>0</v>
      </c>
      <c r="K30" s="4029"/>
      <c r="L30" s="4029"/>
      <c r="M30" s="4029"/>
      <c r="N30" s="3493"/>
    </row>
    <row r="31" spans="1:15" ht="18.75" customHeight="1">
      <c r="A31" s="3491">
        <v>405</v>
      </c>
      <c r="B31" s="3492">
        <v>640.91999999999996</v>
      </c>
      <c r="C31" s="4031"/>
      <c r="D31" s="4031"/>
      <c r="E31" s="4030"/>
      <c r="F31" s="4030"/>
      <c r="G31" s="4030">
        <f t="shared" si="0"/>
        <v>0</v>
      </c>
      <c r="H31" s="4030"/>
      <c r="I31" s="4030"/>
      <c r="J31" s="4030">
        <f t="shared" si="1"/>
        <v>0</v>
      </c>
      <c r="K31" s="4030"/>
      <c r="L31" s="4030"/>
      <c r="M31" s="4030"/>
      <c r="N31" s="3493"/>
    </row>
    <row r="32" spans="1:15" ht="31.5" customHeight="1">
      <c r="A32" s="3491" t="s">
        <v>3536</v>
      </c>
      <c r="B32" s="3492">
        <f>SUM(B28:B31)</f>
        <v>2312.0700000000002</v>
      </c>
      <c r="C32" s="3492"/>
      <c r="D32" s="3492">
        <f>SUM(D28)</f>
        <v>2327.1</v>
      </c>
      <c r="E32" s="3492"/>
      <c r="F32" s="3492"/>
      <c r="G32" s="3492">
        <f>SUM(G28)</f>
        <v>642.27959999999996</v>
      </c>
      <c r="H32" s="3492">
        <f>SUM(H28)</f>
        <v>254.52</v>
      </c>
      <c r="I32" s="3492">
        <f t="shared" ref="I32:J32" si="3">SUM(I28)</f>
        <v>7107521.9039999992</v>
      </c>
      <c r="J32" s="3492">
        <f t="shared" si="3"/>
        <v>710.7521903999999</v>
      </c>
      <c r="K32" s="3492"/>
      <c r="L32" s="3492"/>
      <c r="M32" s="3492"/>
      <c r="N32" s="3493"/>
    </row>
    <row r="33" spans="1:14" ht="18.75" hidden="1" customHeight="1">
      <c r="A33" s="3491"/>
      <c r="B33" s="3492"/>
      <c r="C33" s="3492"/>
      <c r="D33" s="3492"/>
      <c r="E33" s="3492"/>
      <c r="F33" s="3492"/>
      <c r="G33" s="3492">
        <f t="shared" si="0"/>
        <v>0</v>
      </c>
      <c r="H33" s="3492"/>
      <c r="I33" s="3492"/>
      <c r="J33" s="3492">
        <f t="shared" si="1"/>
        <v>0</v>
      </c>
      <c r="K33" s="3492"/>
      <c r="L33" s="3492"/>
      <c r="M33" s="3492"/>
      <c r="N33" s="3493"/>
    </row>
    <row r="34" spans="1:14" ht="18.75" hidden="1" customHeight="1">
      <c r="A34" s="3498"/>
      <c r="B34" s="3492"/>
      <c r="C34" s="3492"/>
      <c r="D34" s="3492"/>
      <c r="E34" s="3492"/>
      <c r="F34" s="3492"/>
      <c r="G34" s="3492">
        <f t="shared" si="0"/>
        <v>0</v>
      </c>
      <c r="H34" s="3492"/>
      <c r="I34" s="3492"/>
      <c r="J34" s="3492">
        <f t="shared" si="1"/>
        <v>0</v>
      </c>
      <c r="K34" s="3492"/>
      <c r="L34" s="3492"/>
      <c r="M34" s="3492"/>
      <c r="N34" s="3493"/>
    </row>
    <row r="35" spans="1:14" ht="38.25" customHeight="1">
      <c r="A35" s="3491" t="s">
        <v>3543</v>
      </c>
      <c r="B35" s="3492">
        <v>11594.11</v>
      </c>
      <c r="C35" s="3492" t="s">
        <v>3544</v>
      </c>
      <c r="D35" s="3492">
        <v>12177.97</v>
      </c>
      <c r="E35" s="3492" t="s">
        <v>3545</v>
      </c>
      <c r="F35" s="3492">
        <f>D35*88.2*12</f>
        <v>12889163.447999999</v>
      </c>
      <c r="G35" s="3492">
        <f t="shared" si="0"/>
        <v>1288.9163447999999</v>
      </c>
      <c r="H35" s="3492">
        <v>88.2</v>
      </c>
      <c r="I35" s="3492">
        <f>D35*H35*12</f>
        <v>12889163.447999999</v>
      </c>
      <c r="J35" s="3492">
        <f t="shared" si="1"/>
        <v>1288.9163447999999</v>
      </c>
      <c r="K35" s="3492" t="s">
        <v>3529</v>
      </c>
      <c r="L35" s="3492" t="s">
        <v>3546</v>
      </c>
      <c r="M35" s="3492" t="s">
        <v>3547</v>
      </c>
      <c r="N35" s="3493"/>
    </row>
    <row r="36" spans="1:14" ht="18.75" customHeight="1">
      <c r="A36" s="3491"/>
      <c r="B36" s="3492"/>
      <c r="C36" s="3492"/>
      <c r="D36" s="3492"/>
      <c r="E36" s="3492"/>
      <c r="F36" s="3492"/>
      <c r="G36" s="3492">
        <f t="shared" si="0"/>
        <v>0</v>
      </c>
      <c r="H36" s="3492"/>
      <c r="I36" s="3492"/>
      <c r="J36" s="3492">
        <f t="shared" si="1"/>
        <v>0</v>
      </c>
      <c r="K36" s="3492"/>
      <c r="L36" s="3492"/>
      <c r="M36" s="3492"/>
      <c r="N36" s="3493"/>
    </row>
    <row r="37" spans="1:14" ht="30.75" customHeight="1">
      <c r="A37" s="3491" t="s">
        <v>3548</v>
      </c>
      <c r="B37" s="3492">
        <v>12246.83</v>
      </c>
      <c r="C37" s="3492" t="s">
        <v>3549</v>
      </c>
      <c r="D37" s="3492">
        <v>12246.83</v>
      </c>
      <c r="E37" s="3492" t="s">
        <v>3550</v>
      </c>
      <c r="F37" s="3492">
        <v>4702782.72</v>
      </c>
      <c r="G37" s="3492">
        <f t="shared" si="0"/>
        <v>470.27827199999996</v>
      </c>
      <c r="H37" s="3492">
        <v>33.6</v>
      </c>
      <c r="I37" s="3492">
        <v>4937921.8559999997</v>
      </c>
      <c r="J37" s="3492">
        <f t="shared" si="1"/>
        <v>493.79218559999998</v>
      </c>
      <c r="K37" s="3492" t="s">
        <v>3489</v>
      </c>
      <c r="L37" s="3492" t="s">
        <v>3506</v>
      </c>
      <c r="M37" s="3492" t="s">
        <v>3551</v>
      </c>
      <c r="N37" s="3493"/>
    </row>
    <row r="38" spans="1:14" ht="31.5" customHeight="1">
      <c r="A38" s="3499" t="s">
        <v>2593</v>
      </c>
      <c r="B38" s="3500">
        <f>B3+B15+B25+B32+B35+B37</f>
        <v>52712.770000000004</v>
      </c>
      <c r="C38" s="3501"/>
      <c r="D38" s="3501"/>
      <c r="E38" s="3501"/>
      <c r="F38" s="3500">
        <f>F3+F15+F25+F28+F35+F37</f>
        <v>80200148.868000001</v>
      </c>
      <c r="G38" s="3500">
        <f>G3+G15+G25+G32+G35+G37</f>
        <v>8020.0148867999987</v>
      </c>
      <c r="H38" s="3501"/>
      <c r="I38" s="3500">
        <f>I3+I15+I25+I28+I35+I37</f>
        <v>84193267.734360009</v>
      </c>
      <c r="J38" s="3500">
        <f>J3+J15+J25+J32+J35+J37</f>
        <v>8419.3267734359997</v>
      </c>
      <c r="K38" s="3501"/>
      <c r="L38" s="3501"/>
      <c r="M38" s="3501"/>
      <c r="N38" s="3502"/>
    </row>
    <row r="40" spans="1:14" ht="14.25">
      <c r="A40" s="3503"/>
      <c r="B40" s="3502"/>
      <c r="C40" s="3504"/>
      <c r="D40" s="3504"/>
      <c r="E40" s="3504"/>
      <c r="F40" s="3504"/>
      <c r="G40" s="3504"/>
      <c r="H40" s="3504"/>
      <c r="I40" s="3504"/>
      <c r="J40" s="3504"/>
      <c r="K40" s="3504"/>
      <c r="L40" s="3504"/>
      <c r="M40" s="3504"/>
      <c r="N40" s="3504"/>
    </row>
    <row r="42" spans="1:14">
      <c r="B42" s="3505"/>
    </row>
  </sheetData>
  <mergeCells count="57">
    <mergeCell ref="A1:M1"/>
    <mergeCell ref="C6:C7"/>
    <mergeCell ref="D6:D7"/>
    <mergeCell ref="E6:E7"/>
    <mergeCell ref="F6:F7"/>
    <mergeCell ref="G6:G7"/>
    <mergeCell ref="H6:H7"/>
    <mergeCell ref="I6:I7"/>
    <mergeCell ref="J6:J7"/>
    <mergeCell ref="K6:K7"/>
    <mergeCell ref="L6:L7"/>
    <mergeCell ref="M6:M7"/>
    <mergeCell ref="G22:G23"/>
    <mergeCell ref="K8:K12"/>
    <mergeCell ref="C8:C12"/>
    <mergeCell ref="D8:D12"/>
    <mergeCell ref="E8:E12"/>
    <mergeCell ref="F8:F12"/>
    <mergeCell ref="G8:G12"/>
    <mergeCell ref="C20:C21"/>
    <mergeCell ref="C22:C23"/>
    <mergeCell ref="D22:D23"/>
    <mergeCell ref="E22:E23"/>
    <mergeCell ref="F22:F23"/>
    <mergeCell ref="H22:H23"/>
    <mergeCell ref="I22:I23"/>
    <mergeCell ref="L8:L12"/>
    <mergeCell ref="M8:M12"/>
    <mergeCell ref="C17:C18"/>
    <mergeCell ref="D17:D18"/>
    <mergeCell ref="E17:E18"/>
    <mergeCell ref="F17:F18"/>
    <mergeCell ref="G17:G18"/>
    <mergeCell ref="H17:H18"/>
    <mergeCell ref="I17:I18"/>
    <mergeCell ref="H8:H12"/>
    <mergeCell ref="I8:I12"/>
    <mergeCell ref="J8:J12"/>
    <mergeCell ref="L22:L23"/>
    <mergeCell ref="M22:M23"/>
    <mergeCell ref="J17:J18"/>
    <mergeCell ref="K17:K18"/>
    <mergeCell ref="L17:L18"/>
    <mergeCell ref="M17:M18"/>
    <mergeCell ref="J22:J23"/>
    <mergeCell ref="K22:K23"/>
    <mergeCell ref="I28:I31"/>
    <mergeCell ref="J28:J31"/>
    <mergeCell ref="K28:K31"/>
    <mergeCell ref="L28:L31"/>
    <mergeCell ref="M28:M31"/>
    <mergeCell ref="H28:H31"/>
    <mergeCell ref="C28:C31"/>
    <mergeCell ref="D28:D31"/>
    <mergeCell ref="E28:E31"/>
    <mergeCell ref="F28:F31"/>
    <mergeCell ref="G28:G31"/>
  </mergeCells>
  <phoneticPr fontId="135" type="noConversion"/>
  <printOptions horizontalCentered="1"/>
  <pageMargins left="0.31496062992125984" right="0.31496062992125984" top="0.35433070866141736" bottom="0.35433070866141736" header="0.31496062992125984" footer="0.31496062992125984"/>
  <pageSetup paperSize="9" orientation="landscape" horizontalDpi="2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45056</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56" t="s">
        <v>949</v>
      </c>
      <c r="B1" s="3656"/>
      <c r="C1" s="3656"/>
      <c r="D1" s="3656"/>
    </row>
    <row r="2" spans="1:4" ht="18">
      <c r="A2" s="3657" t="s">
        <v>933</v>
      </c>
      <c r="B2" s="3657"/>
      <c r="C2" s="3657"/>
      <c r="D2" s="365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657" t="s">
        <v>939</v>
      </c>
      <c r="B6" s="3657"/>
      <c r="C6" s="3657"/>
      <c r="D6" s="365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58" t="s">
        <v>942</v>
      </c>
      <c r="B11" s="3659"/>
      <c r="C11" s="3659"/>
      <c r="D11" s="3659"/>
    </row>
    <row r="12" spans="1:4" ht="15.75">
      <c r="A12" s="36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60"/>
      <c r="C12" s="3660"/>
      <c r="D12" s="3660"/>
    </row>
    <row r="13" spans="1:4" ht="30" customHeight="1">
      <c r="A13" s="3659" t="str">
        <f>IF(项目基本情况!B8="抵押","3.抵押双方在办理抵押登记手续时，应使用本公司出具的正式《房地产评估报告》，特提醒报告使用者注意。","——")</f>
        <v>——</v>
      </c>
      <c r="B13" s="3660"/>
      <c r="C13" s="3660"/>
      <c r="D13" s="3660"/>
    </row>
    <row r="14" spans="1:4" ht="15.75" customHeight="1">
      <c r="A14" s="3659" t="str">
        <f>IF(项目基本情况!B8="抵押","4.本次评估估价师所知悉的法定优先受偿款情况说明如下：","——")</f>
        <v>——</v>
      </c>
      <c r="B14" s="3660"/>
      <c r="C14" s="3660"/>
      <c r="D14" s="3660"/>
    </row>
    <row r="15" spans="1:4" ht="42" customHeight="1">
      <c r="A15" s="3659" t="str">
        <f>IF(项目基本情况!B8="抵押","（1）"&amp;CONCATENATE(项目基本情况!L20,项目基本情况!L21,项目基本情况!L22),"——")</f>
        <v>——</v>
      </c>
      <c r="B15" s="3659"/>
      <c r="C15" s="3659"/>
      <c r="D15" s="3659"/>
    </row>
    <row r="16" spans="1:4" ht="30" customHeight="1">
      <c r="A16" s="3662" t="s">
        <v>943</v>
      </c>
      <c r="B16" s="3662"/>
      <c r="C16" s="3662"/>
      <c r="D16" s="3662"/>
    </row>
    <row r="17" spans="1:4" ht="144" customHeight="1">
      <c r="A17" s="3662" t="s">
        <v>944</v>
      </c>
      <c r="B17" s="3662"/>
      <c r="C17" s="3662"/>
      <c r="D17" s="3662"/>
    </row>
    <row r="18" spans="1:4" ht="15.75" customHeight="1">
      <c r="A18" s="3659" t="str">
        <f>IF(项目基本情况!B8="抵押",结果表!K120,"——")</f>
        <v>——</v>
      </c>
      <c r="B18" s="3659"/>
      <c r="C18" s="3659"/>
      <c r="D18" s="3659"/>
    </row>
    <row r="19" spans="1:4" ht="46.5" customHeight="1">
      <c r="A19" s="36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9"/>
      <c r="C19" s="3659"/>
      <c r="D19" s="3659"/>
    </row>
    <row r="20" spans="1:4" ht="57.75" customHeight="1">
      <c r="A20" s="36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9"/>
      <c r="C20" s="3659"/>
      <c r="D20" s="3659"/>
    </row>
    <row r="21" spans="1:4" ht="57.75" customHeight="1">
      <c r="A21" s="36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3"/>
      <c r="C21" s="3663"/>
      <c r="D21" s="3663"/>
    </row>
    <row r="22" spans="1:4" ht="18.75" customHeight="1">
      <c r="A22" s="3664" t="s">
        <v>945</v>
      </c>
      <c r="B22" s="3664"/>
      <c r="C22" s="3664"/>
      <c r="D22" s="366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61">
        <v>42551</v>
      </c>
      <c r="D31" s="36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70" t="s">
        <v>956</v>
      </c>
      <c r="B15" s="3665" t="s">
        <v>109</v>
      </c>
      <c r="C15" s="3666"/>
    </row>
    <row r="16" spans="1:7" ht="13.5">
      <c r="A16" s="3671"/>
      <c r="B16" s="3665" t="s">
        <v>42</v>
      </c>
      <c r="C16" s="3666"/>
    </row>
    <row r="17" spans="1:3" ht="13.5">
      <c r="A17" s="3671"/>
      <c r="B17" s="3668" t="s">
        <v>957</v>
      </c>
      <c r="C17" s="1532" t="s">
        <v>956</v>
      </c>
    </row>
    <row r="18" spans="1:3" ht="13.5">
      <c r="A18" s="3671"/>
      <c r="B18" s="3668"/>
      <c r="C18" s="1532" t="s">
        <v>958</v>
      </c>
    </row>
    <row r="19" spans="1:3" ht="13.5">
      <c r="A19" s="3671"/>
      <c r="B19" s="3668"/>
      <c r="C19" s="1532" t="s">
        <v>959</v>
      </c>
    </row>
    <row r="20" spans="1:3" ht="13.5">
      <c r="A20" s="3672"/>
      <c r="B20" s="3667" t="s">
        <v>960</v>
      </c>
      <c r="C20" s="3666"/>
    </row>
    <row r="21" spans="1:3" ht="13.5">
      <c r="A21" s="1533" t="s">
        <v>961</v>
      </c>
      <c r="B21" s="1534"/>
      <c r="C21" s="1535"/>
    </row>
    <row r="22" spans="1:3" ht="13.5">
      <c r="A22" s="3669" t="s">
        <v>962</v>
      </c>
      <c r="B22" s="3667" t="s">
        <v>963</v>
      </c>
      <c r="C22" s="3666"/>
    </row>
    <row r="23" spans="1:3" ht="13.5">
      <c r="A23" s="3669"/>
      <c r="B23" s="3667" t="s">
        <v>964</v>
      </c>
      <c r="C23" s="3666"/>
    </row>
    <row r="24" spans="1:3" ht="13.5">
      <c r="A24" s="3669"/>
      <c r="B24" s="3667" t="s">
        <v>965</v>
      </c>
      <c r="C24" s="3666"/>
    </row>
    <row r="25" spans="1:3" ht="13.5">
      <c r="A25" s="3669"/>
      <c r="B25" s="3668" t="s">
        <v>966</v>
      </c>
      <c r="C25" s="1532" t="s">
        <v>967</v>
      </c>
    </row>
    <row r="26" spans="1:3" ht="13.5">
      <c r="A26" s="3669"/>
      <c r="B26" s="3668"/>
      <c r="C26" s="1532" t="s">
        <v>968</v>
      </c>
    </row>
    <row r="27" spans="1:3" ht="13.5">
      <c r="A27" s="3669"/>
      <c r="B27" s="3668"/>
      <c r="C27" s="1532" t="s">
        <v>969</v>
      </c>
    </row>
    <row r="28" spans="1:3" ht="13.5">
      <c r="A28" s="3669"/>
      <c r="B28" s="3668"/>
      <c r="C28" s="1532" t="s">
        <v>970</v>
      </c>
    </row>
    <row r="29" spans="1:3" ht="13.5">
      <c r="A29" s="3669"/>
      <c r="B29" s="3668"/>
      <c r="C29" s="1532" t="s">
        <v>971</v>
      </c>
    </row>
    <row r="30" spans="1:3" ht="13.5">
      <c r="A30" s="3669"/>
      <c r="B30" s="3668"/>
      <c r="C30" s="1532" t="s">
        <v>972</v>
      </c>
    </row>
    <row r="31" spans="1:3" ht="13.5">
      <c r="A31" s="3669"/>
      <c r="B31" s="3668"/>
      <c r="C31" s="1532" t="s">
        <v>973</v>
      </c>
    </row>
    <row r="32" spans="1:3" ht="13.5">
      <c r="A32" s="3669"/>
      <c r="B32" s="3668"/>
      <c r="C32" s="1532" t="s">
        <v>974</v>
      </c>
    </row>
    <row r="33" spans="1:3" ht="13.5">
      <c r="A33" s="3669"/>
      <c r="B33" s="366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45110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73" t="s">
        <v>2160</v>
      </c>
      <c r="B17" s="3673"/>
      <c r="C17" s="3673"/>
      <c r="D17" s="3673"/>
      <c r="E17" s="3673"/>
      <c r="F17" s="3673"/>
      <c r="G17" s="3673"/>
      <c r="H17" s="3673"/>
    </row>
    <row r="18" spans="1:8" ht="24" customHeight="1">
      <c r="A18" s="3674" t="s">
        <v>2161</v>
      </c>
      <c r="B18" s="3674"/>
      <c r="C18" s="3674"/>
      <c r="D18" s="2343"/>
      <c r="E18" s="3675" t="s">
        <v>2162</v>
      </c>
      <c r="F18" s="3674"/>
      <c r="G18" s="367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164</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收益法</vt:lpstr>
      <vt:lpstr>收益法 (元)</vt:lpstr>
      <vt:lpstr>收益法-酒店模型</vt:lpstr>
      <vt:lpstr>收益法（汇总）</vt:lpstr>
      <vt:lpstr>比较法-住宅</vt:lpstr>
      <vt:lpstr>比较法-商业</vt:lpstr>
      <vt:lpstr>比较法-办公</vt:lpstr>
      <vt:lpstr>比较法-工业租金</vt:lpstr>
      <vt:lpstr>比较法-工业售价</vt:lpstr>
      <vt:lpstr>比较法-车位</vt:lpstr>
      <vt:lpstr>比较法-仓储</vt:lpstr>
      <vt:lpstr>土地比较法-住宅、综合</vt:lpstr>
      <vt:lpstr>土地比较法-工业</vt:lpstr>
      <vt:lpstr>典型户型修正</vt:lpstr>
      <vt:lpstr>基准地价（汇总）</vt:lpstr>
      <vt:lpstr>成本法 (元)</vt:lpstr>
      <vt:lpstr>成本法</vt:lpstr>
      <vt:lpstr>基准地价修正</vt:lpstr>
      <vt:lpstr>修正</vt:lpstr>
      <vt:lpstr>容积率修正</vt:lpstr>
      <vt:lpstr>成本法（废）</vt:lpstr>
      <vt:lpstr>区片价</vt:lpstr>
      <vt:lpstr>售价案例</vt:lpstr>
      <vt:lpstr>因素修正幅度</vt:lpstr>
      <vt:lpstr>区片价（范围）</vt:lpstr>
      <vt:lpstr>地价-分区</vt:lpstr>
      <vt:lpstr>地价</vt:lpstr>
      <vt:lpstr>租金案例</vt:lpstr>
      <vt:lpstr>京东贝光电产业园</vt:lpstr>
      <vt:lpstr>国锐金嵿</vt:lpstr>
      <vt:lpstr>富兴国际</vt:lpstr>
      <vt:lpstr>存贷款利率</vt:lpstr>
      <vt:lpstr>'比较法-办公'!Print_Area</vt:lpstr>
      <vt:lpstr>'比较法-仓储'!Print_Area</vt:lpstr>
      <vt:lpstr>'比较法-车位'!Print_Area</vt:lpstr>
      <vt:lpstr>'比较法-工业售价'!Print_Area</vt:lpstr>
      <vt:lpstr>'比较法-工业租金'!Print_Area</vt:lpstr>
      <vt:lpstr>'比较法-商业'!Print_Area</vt:lpstr>
      <vt:lpstr>'比较法-住宅'!Print_Area</vt:lpstr>
      <vt:lpstr>成本法!Print_Area</vt:lpstr>
      <vt:lpstr>'成本法 (元)'!Print_Area</vt:lpstr>
      <vt:lpstr>估价对象房地状况!Print_Area</vt:lpstr>
      <vt:lpstr>估价师及机构信息!Print_Area</vt:lpstr>
      <vt:lpstr>国锐金嵿!Print_Area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富兴国际!Print_Titles</vt:lpstr>
      <vt:lpstr>国锐金嵿!Print_Titles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'比较法-工业租金'!工业公共部分装修</vt:lpstr>
      <vt:lpstr>工业公共部分装修</vt:lpstr>
      <vt:lpstr>'比较法-工业租金'!工业基础设施水平</vt:lpstr>
      <vt:lpstr>工业基础设施水平</vt:lpstr>
      <vt:lpstr>'比较法-工业租金'!工业建筑结构</vt:lpstr>
      <vt:lpstr>工业建筑结构</vt:lpstr>
      <vt:lpstr>'比较法-工业租金'!工业建筑类型</vt:lpstr>
      <vt:lpstr>工业建筑类型</vt:lpstr>
      <vt:lpstr>'比较法-工业租金'!工业交易情况</vt:lpstr>
      <vt:lpstr>工业交易情况</vt:lpstr>
      <vt:lpstr>'比较法-工业租金'!工业内部装修</vt:lpstr>
      <vt:lpstr>工业内部装修</vt:lpstr>
      <vt:lpstr>'比较法-工业租金'!工业物业管理</vt:lpstr>
      <vt:lpstr>工业物业管理</vt:lpstr>
      <vt:lpstr>'比较法-工业租金'!工业用途</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2023-07-03T03:01:24Z</dcterms:modified>
</cp:coreProperties>
</file>