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1"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比较法-租金办公" sheetId="85"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 sheetId="84" r:id="rId48"/>
    <sheet name="售价" sheetId="86" r:id="rId49"/>
    <sheet name="中指" sheetId="83" r:id="rId50"/>
  </sheets>
  <externalReferences>
    <externalReference r:id="rId51"/>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25" hidden="1">'比较法-租金办公'!$A$1:$L$50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5">'比较法-租金办公'!$A$1:$K$55,'比较法-租金办公'!$A$58:$M$132</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5">'比较法-租金办公'!$B$119:$M$119</definedName>
    <definedName name="办公层高">'比较法-办公'!$B$119:$M$119</definedName>
    <definedName name="办公朝向" localSheetId="25">'比较法-租金办公'!$B$91:$M$91</definedName>
    <definedName name="办公朝向">'比较法-办公'!$B$91:$M$91</definedName>
    <definedName name="办公道路级别" localSheetId="25">'比较法-租金办公'!$B$87:$M$87</definedName>
    <definedName name="办公道路级别">'比较法-办公'!$B$87:$M$87</definedName>
    <definedName name="办公公共部分装修" localSheetId="25">'比较法-租金办公'!$B$108:$M$108</definedName>
    <definedName name="办公公共部分装修">'比较法-办公'!$B$108:$M$108</definedName>
    <definedName name="办公基础设施水平" localSheetId="25">'比较法-租金办公'!$B$117:$M$117</definedName>
    <definedName name="办公基础设施水平">'比较法-办公'!$B$117:$M$117</definedName>
    <definedName name="办公集聚程度">定义!$M$1:$M$6</definedName>
    <definedName name="办公建筑结构" localSheetId="25">'比较法-租金办公'!$B$106:$M$106</definedName>
    <definedName name="办公建筑结构">'比较法-办公'!$B$106:$M$106</definedName>
    <definedName name="办公建筑类型" localSheetId="25">'比较法-租金办公'!$B$101:$M$101</definedName>
    <definedName name="办公建筑类型">'比较法-办公'!$B$101:$M$101</definedName>
    <definedName name="办公交易情况" localSheetId="25">'比较法-租金办公'!$A$62:$M$62</definedName>
    <definedName name="办公交易情况">'比较法-办公'!$A$62:$M$62</definedName>
    <definedName name="办公楼层" localSheetId="25">'比较法-租金办公'!$B$89:$M$89</definedName>
    <definedName name="办公楼层">'比较法-办公'!$B$89:$M$89</definedName>
    <definedName name="办公内部装修" localSheetId="25">'比较法-租金办公'!$B$123:$M$123</definedName>
    <definedName name="办公内部装修">'比较法-办公'!$B$123:$M$123</definedName>
    <definedName name="办公物业管理" localSheetId="25">'比较法-租金办公'!$B$115:$M$115</definedName>
    <definedName name="办公物业管理">'比较法-办公'!$B$115:$M$115</definedName>
    <definedName name="办公用途" localSheetId="25">'比较法-租金办公'!$B$64:$M$64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R59" i="9" l="1"/>
  <c r="C14" i="74"/>
  <c r="D4" i="31" l="1"/>
  <c r="E4" i="31"/>
  <c r="F4" i="31"/>
  <c r="G4" i="31"/>
  <c r="D3" i="31"/>
  <c r="E3" i="31"/>
  <c r="F3" i="31"/>
  <c r="G3" i="31"/>
  <c r="I10" i="34" l="1"/>
  <c r="I7" i="34"/>
  <c r="G7" i="34"/>
  <c r="AC20" i="1" l="1"/>
  <c r="AC22" i="1" s="1"/>
  <c r="U19" i="1"/>
  <c r="AB19" i="1"/>
  <c r="I7" i="85"/>
  <c r="G7" i="85"/>
  <c r="B131" i="85"/>
  <c r="B129" i="85"/>
  <c r="B127" i="85"/>
  <c r="G126" i="85"/>
  <c r="E126" i="85"/>
  <c r="F126" i="85" s="1"/>
  <c r="D126" i="85"/>
  <c r="E124" i="85"/>
  <c r="D124" i="85"/>
  <c r="G120" i="85"/>
  <c r="H120" i="85" s="1"/>
  <c r="I120" i="85" s="1"/>
  <c r="J120" i="85" s="1"/>
  <c r="K120" i="85" s="1"/>
  <c r="L120" i="85" s="1"/>
  <c r="M120" i="85" s="1"/>
  <c r="E120" i="85"/>
  <c r="F120" i="85" s="1"/>
  <c r="D120" i="85"/>
  <c r="E118" i="85"/>
  <c r="F118" i="85" s="1"/>
  <c r="G118" i="85" s="1"/>
  <c r="D118" i="85"/>
  <c r="E116" i="85"/>
  <c r="F116" i="85" s="1"/>
  <c r="G116" i="85" s="1"/>
  <c r="H116" i="85" s="1"/>
  <c r="I116" i="85" s="1"/>
  <c r="J116" i="85" s="1"/>
  <c r="K116" i="85" s="1"/>
  <c r="L116" i="85" s="1"/>
  <c r="M116" i="85" s="1"/>
  <c r="D116" i="85"/>
  <c r="E114" i="85"/>
  <c r="F114" i="85" s="1"/>
  <c r="G114" i="85" s="1"/>
  <c r="H114" i="85" s="1"/>
  <c r="I114" i="85" s="1"/>
  <c r="J114" i="85" s="1"/>
  <c r="K114" i="85" s="1"/>
  <c r="L114" i="85" s="1"/>
  <c r="M114" i="85" s="1"/>
  <c r="D114" i="85"/>
  <c r="E112" i="85"/>
  <c r="F112" i="85" s="1"/>
  <c r="G112" i="85" s="1"/>
  <c r="H112" i="85" s="1"/>
  <c r="I112" i="85" s="1"/>
  <c r="J112" i="85" s="1"/>
  <c r="K112" i="85" s="1"/>
  <c r="L112" i="85" s="1"/>
  <c r="M112" i="85" s="1"/>
  <c r="D112" i="85"/>
  <c r="G110" i="85"/>
  <c r="F110" i="85"/>
  <c r="E110" i="85"/>
  <c r="D110" i="85"/>
  <c r="C110" i="85"/>
  <c r="H109" i="85"/>
  <c r="I109" i="85" s="1"/>
  <c r="J109" i="85" s="1"/>
  <c r="K109" i="85" s="1"/>
  <c r="L109" i="85" s="1"/>
  <c r="M109" i="85" s="1"/>
  <c r="D109" i="85"/>
  <c r="E109" i="85" s="1"/>
  <c r="F109" i="85" s="1"/>
  <c r="G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K102" i="85"/>
  <c r="L102" i="85" s="1"/>
  <c r="M102" i="85" s="1"/>
  <c r="G102" i="85"/>
  <c r="H102" i="85" s="1"/>
  <c r="I102" i="85" s="1"/>
  <c r="J102" i="85" s="1"/>
  <c r="E102" i="85"/>
  <c r="F102" i="85" s="1"/>
  <c r="D102" i="85"/>
  <c r="B99" i="85"/>
  <c r="H32" i="85" s="1"/>
  <c r="B97" i="85"/>
  <c r="B95" i="85"/>
  <c r="B93" i="85"/>
  <c r="M92" i="85"/>
  <c r="I92" i="85"/>
  <c r="J92" i="85" s="1"/>
  <c r="K92" i="85" s="1"/>
  <c r="L92" i="85" s="1"/>
  <c r="E92" i="85"/>
  <c r="F92" i="85" s="1"/>
  <c r="G92" i="85" s="1"/>
  <c r="H92" i="85" s="1"/>
  <c r="D92" i="85"/>
  <c r="B91" i="85"/>
  <c r="D90" i="85"/>
  <c r="B89" i="85"/>
  <c r="E88" i="85"/>
  <c r="F88" i="85" s="1"/>
  <c r="G88" i="85" s="1"/>
  <c r="H88" i="85" s="1"/>
  <c r="I88" i="85" s="1"/>
  <c r="J88" i="85" s="1"/>
  <c r="K88" i="85" s="1"/>
  <c r="L88" i="85" s="1"/>
  <c r="M88" i="85" s="1"/>
  <c r="D88" i="85"/>
  <c r="G86" i="85"/>
  <c r="E86" i="85"/>
  <c r="F86" i="85" s="1"/>
  <c r="D86" i="85"/>
  <c r="G84" i="85"/>
  <c r="E84" i="85"/>
  <c r="F84" i="85" s="1"/>
  <c r="D84" i="85"/>
  <c r="E82" i="85"/>
  <c r="F82" i="85" s="1"/>
  <c r="G82" i="85" s="1"/>
  <c r="D82" i="85"/>
  <c r="E80" i="85"/>
  <c r="F80" i="85" s="1"/>
  <c r="G80" i="85" s="1"/>
  <c r="D80" i="85"/>
  <c r="D78" i="85"/>
  <c r="E78" i="85" s="1"/>
  <c r="F78" i="85" s="1"/>
  <c r="G78" i="85" s="1"/>
  <c r="B75" i="85"/>
  <c r="B73" i="85"/>
  <c r="B71" i="85"/>
  <c r="H70" i="85"/>
  <c r="I70" i="85" s="1"/>
  <c r="J70" i="85" s="1"/>
  <c r="K70" i="85" s="1"/>
  <c r="L70" i="85" s="1"/>
  <c r="M70" i="85" s="1"/>
  <c r="D70" i="85"/>
  <c r="E70" i="85" s="1"/>
  <c r="F70" i="85" s="1"/>
  <c r="G70" i="85" s="1"/>
  <c r="M68" i="85"/>
  <c r="L68" i="85"/>
  <c r="K68" i="85"/>
  <c r="J68" i="85"/>
  <c r="I68" i="85"/>
  <c r="H68" i="85"/>
  <c r="G68" i="85"/>
  <c r="F68" i="85"/>
  <c r="E68" i="85"/>
  <c r="D68" i="85"/>
  <c r="C68" i="85"/>
  <c r="G67" i="85"/>
  <c r="D67" i="85"/>
  <c r="E67" i="85" s="1"/>
  <c r="F67" i="85" s="1"/>
  <c r="C64" i="85"/>
  <c r="I55" i="85"/>
  <c r="J55" i="85" s="1"/>
  <c r="G55" i="85"/>
  <c r="H55" i="85" s="1"/>
  <c r="E55" i="85"/>
  <c r="F55" i="85" s="1"/>
  <c r="P50" i="85"/>
  <c r="P49" i="85"/>
  <c r="K49" i="85"/>
  <c r="V48" i="85"/>
  <c r="T48" i="85"/>
  <c r="R48" i="85"/>
  <c r="P48" i="85"/>
  <c r="AC47" i="85"/>
  <c r="Q47" i="85"/>
  <c r="Z47" i="85" s="1"/>
  <c r="J47" i="85"/>
  <c r="W47" i="85" s="1"/>
  <c r="H47" i="85"/>
  <c r="AB47" i="85" s="1"/>
  <c r="F47" i="85"/>
  <c r="AA47" i="85" s="1"/>
  <c r="U46" i="85"/>
  <c r="Q46" i="85"/>
  <c r="Z46" i="85" s="1"/>
  <c r="J46" i="85"/>
  <c r="AC46" i="85" s="1"/>
  <c r="H46" i="85"/>
  <c r="AB46" i="85" s="1"/>
  <c r="F46" i="85"/>
  <c r="AA46" i="85" s="1"/>
  <c r="Q45" i="85"/>
  <c r="Z45" i="85" s="1"/>
  <c r="F45" i="85"/>
  <c r="S45" i="85" s="1"/>
  <c r="C45" i="85"/>
  <c r="J45" i="85" s="1"/>
  <c r="Q44" i="85"/>
  <c r="Z44" i="85" s="1"/>
  <c r="J44" i="85"/>
  <c r="AC44" i="85" s="1"/>
  <c r="H44" i="85"/>
  <c r="AB44" i="85" s="1"/>
  <c r="F44" i="85"/>
  <c r="AA44" i="85" s="1"/>
  <c r="Q43" i="85"/>
  <c r="Z43" i="85" s="1"/>
  <c r="Q42" i="85"/>
  <c r="Z42" i="85" s="1"/>
  <c r="J42" i="85"/>
  <c r="AC42" i="85" s="1"/>
  <c r="H42" i="85"/>
  <c r="AB42" i="85" s="1"/>
  <c r="F42" i="85"/>
  <c r="AA42" i="85" s="1"/>
  <c r="U41" i="85"/>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AC38" i="85"/>
  <c r="Q38" i="85"/>
  <c r="Z38" i="85" s="1"/>
  <c r="J38" i="85"/>
  <c r="W38" i="85" s="1"/>
  <c r="H38" i="85"/>
  <c r="AB38" i="85" s="1"/>
  <c r="F38" i="85"/>
  <c r="AA38" i="85" s="1"/>
  <c r="Q37" i="85"/>
  <c r="Z37" i="85" s="1"/>
  <c r="U36" i="85"/>
  <c r="Q36" i="85"/>
  <c r="Z36" i="85" s="1"/>
  <c r="J36" i="85"/>
  <c r="AC36" i="85" s="1"/>
  <c r="H36" i="85"/>
  <c r="AB36" i="85" s="1"/>
  <c r="F36" i="85"/>
  <c r="AA36" i="85" s="1"/>
  <c r="Q35" i="85"/>
  <c r="Z35" i="85" s="1"/>
  <c r="J35" i="85"/>
  <c r="AC35" i="85" s="1"/>
  <c r="H35" i="85"/>
  <c r="AB35" i="85" s="1"/>
  <c r="F35" i="85"/>
  <c r="AA35" i="85" s="1"/>
  <c r="Q34" i="85"/>
  <c r="Z34" i="85" s="1"/>
  <c r="C34" i="85"/>
  <c r="Q33" i="85"/>
  <c r="Z33" i="85" s="1"/>
  <c r="J33" i="85"/>
  <c r="AC33" i="85" s="1"/>
  <c r="H33" i="85"/>
  <c r="AB33" i="85" s="1"/>
  <c r="F33" i="85"/>
  <c r="AA33" i="85" s="1"/>
  <c r="Q32" i="85"/>
  <c r="Z32" i="85" s="1"/>
  <c r="AC31" i="85"/>
  <c r="AB31" i="85"/>
  <c r="W31" i="85"/>
  <c r="U31" i="85"/>
  <c r="Q31" i="85"/>
  <c r="Z31" i="85" s="1"/>
  <c r="J31" i="85"/>
  <c r="H31" i="85"/>
  <c r="F31" i="85"/>
  <c r="AA31" i="85" s="1"/>
  <c r="AC30" i="85"/>
  <c r="AA30" i="85"/>
  <c r="Q30" i="85"/>
  <c r="Z30" i="85" s="1"/>
  <c r="J30" i="85"/>
  <c r="W30" i="85" s="1"/>
  <c r="H30" i="85"/>
  <c r="AB30" i="85" s="1"/>
  <c r="F30" i="85"/>
  <c r="S30" i="85" s="1"/>
  <c r="AB29" i="85"/>
  <c r="AA29" i="85"/>
  <c r="Z29" i="85"/>
  <c r="Q29" i="85"/>
  <c r="J29" i="85"/>
  <c r="AC29" i="85" s="1"/>
  <c r="H29" i="85"/>
  <c r="U29" i="85" s="1"/>
  <c r="F29" i="85"/>
  <c r="S29" i="85" s="1"/>
  <c r="AC28" i="85"/>
  <c r="AA28" i="85"/>
  <c r="W28" i="85"/>
  <c r="Q28" i="85"/>
  <c r="Z28" i="85" s="1"/>
  <c r="J28" i="85"/>
  <c r="H28" i="85"/>
  <c r="AB28" i="85" s="1"/>
  <c r="F28" i="85"/>
  <c r="S28" i="85" s="1"/>
  <c r="Z27" i="85"/>
  <c r="Q27" i="85"/>
  <c r="AC25" i="85"/>
  <c r="AA25" i="85"/>
  <c r="Q25" i="85"/>
  <c r="Z25" i="85" s="1"/>
  <c r="J25" i="85"/>
  <c r="W25" i="85" s="1"/>
  <c r="H25" i="85"/>
  <c r="AB25" i="85" s="1"/>
  <c r="F25" i="85"/>
  <c r="S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U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F10" i="85"/>
  <c r="H10" i="85"/>
  <c r="Q9" i="85"/>
  <c r="Z9" i="85" s="1"/>
  <c r="J9" i="85"/>
  <c r="AC9" i="85" s="1"/>
  <c r="H9" i="85"/>
  <c r="AB9" i="85" s="1"/>
  <c r="F9" i="85"/>
  <c r="AA9" i="85" s="1"/>
  <c r="J8" i="85"/>
  <c r="AC8" i="85" s="1"/>
  <c r="H8" i="85"/>
  <c r="AB8" i="85" s="1"/>
  <c r="F8" i="85"/>
  <c r="S8" i="85" s="1"/>
  <c r="C7" i="85"/>
  <c r="C59" i="85" s="1"/>
  <c r="D59" i="85" s="1"/>
  <c r="D3" i="85"/>
  <c r="D2" i="85"/>
  <c r="AA45" i="85" l="1"/>
  <c r="W8" i="85"/>
  <c r="U8" i="85"/>
  <c r="AC10" i="85"/>
  <c r="W10" i="85"/>
  <c r="AB10" i="85"/>
  <c r="U10" i="85"/>
  <c r="E59" i="85"/>
  <c r="F59" i="85" s="1"/>
  <c r="G59" i="85" s="1"/>
  <c r="H59" i="85" s="1"/>
  <c r="I59" i="85" s="1"/>
  <c r="J59" i="85" s="1"/>
  <c r="K59" i="85" s="1"/>
  <c r="L59" i="85" s="1"/>
  <c r="M59" i="85" s="1"/>
  <c r="N59" i="85" s="1"/>
  <c r="O59" i="85" s="1"/>
  <c r="J7" i="85"/>
  <c r="H7" i="85"/>
  <c r="AA10" i="85"/>
  <c r="S10" i="85"/>
  <c r="U11" i="85"/>
  <c r="W12" i="85"/>
  <c r="S14" i="85"/>
  <c r="S19" i="85"/>
  <c r="S23" i="85"/>
  <c r="U25" i="85"/>
  <c r="U30" i="85"/>
  <c r="AC45" i="85"/>
  <c r="W45" i="85"/>
  <c r="AB32" i="85"/>
  <c r="U32" i="85"/>
  <c r="S15" i="85"/>
  <c r="S21" i="85"/>
  <c r="AB15" i="85"/>
  <c r="U19" i="85"/>
  <c r="U21" i="85"/>
  <c r="U23" i="85"/>
  <c r="E90" i="85"/>
  <c r="F27" i="85" s="1"/>
  <c r="S17" i="85"/>
  <c r="S9" i="85"/>
  <c r="W11" i="85"/>
  <c r="S13" i="85"/>
  <c r="U14" i="85"/>
  <c r="E7" i="85"/>
  <c r="F7" i="85" s="1"/>
  <c r="W15" i="85"/>
  <c r="W17" i="85"/>
  <c r="W19" i="85"/>
  <c r="W23" i="85"/>
  <c r="F32" i="85"/>
  <c r="S35" i="85"/>
  <c r="S40" i="85"/>
  <c r="W42" i="85"/>
  <c r="S44" i="85"/>
  <c r="U17" i="85"/>
  <c r="AA8" i="85"/>
  <c r="U9" i="85"/>
  <c r="S12" i="85"/>
  <c r="U13" i="85"/>
  <c r="W14" i="85"/>
  <c r="W21" i="85"/>
  <c r="W9" i="85"/>
  <c r="S11" i="85"/>
  <c r="U12" i="85"/>
  <c r="W13" i="85"/>
  <c r="J32" i="85"/>
  <c r="J34" i="85"/>
  <c r="H34" i="85"/>
  <c r="F34" i="85"/>
  <c r="F124" i="85"/>
  <c r="F43" i="85"/>
  <c r="S33" i="85"/>
  <c r="U35" i="85"/>
  <c r="W36" i="85"/>
  <c r="S39" i="85"/>
  <c r="U40" i="85"/>
  <c r="W41" i="85"/>
  <c r="U44" i="85"/>
  <c r="H45" i="85"/>
  <c r="W46" i="85"/>
  <c r="U33" i="85"/>
  <c r="W35" i="85"/>
  <c r="S38" i="85"/>
  <c r="U39" i="85"/>
  <c r="W40" i="85"/>
  <c r="S42" i="85"/>
  <c r="W44" i="85"/>
  <c r="S47" i="85"/>
  <c r="U28" i="85"/>
  <c r="W29" i="85"/>
  <c r="S31" i="85"/>
  <c r="W33" i="85"/>
  <c r="S36" i="85"/>
  <c r="U38" i="85"/>
  <c r="W39" i="85"/>
  <c r="S41" i="85"/>
  <c r="U42" i="85"/>
  <c r="S46" i="85"/>
  <c r="U47" i="85"/>
  <c r="E10" i="34"/>
  <c r="G10" i="34"/>
  <c r="C45" i="34"/>
  <c r="AB45" i="85" l="1"/>
  <c r="U45" i="85"/>
  <c r="AA34" i="85"/>
  <c r="S34" i="85"/>
  <c r="S32" i="85"/>
  <c r="AA32" i="85"/>
  <c r="AA27" i="85"/>
  <c r="S27" i="85"/>
  <c r="U7" i="85"/>
  <c r="AB7" i="85"/>
  <c r="S7" i="85"/>
  <c r="AA7" i="85"/>
  <c r="J43" i="85"/>
  <c r="G124" i="85"/>
  <c r="H124" i="85" s="1"/>
  <c r="I124" i="85" s="1"/>
  <c r="J124" i="85" s="1"/>
  <c r="K124" i="85" s="1"/>
  <c r="L124" i="85" s="1"/>
  <c r="M124" i="85" s="1"/>
  <c r="H43" i="85"/>
  <c r="AC7" i="85"/>
  <c r="W7" i="85"/>
  <c r="AA43" i="85"/>
  <c r="S43" i="85"/>
  <c r="AB34" i="85"/>
  <c r="U34" i="85"/>
  <c r="AC34" i="85"/>
  <c r="W34" i="85"/>
  <c r="W32" i="85"/>
  <c r="AC32" i="85"/>
  <c r="F90" i="85"/>
  <c r="G90" i="85" s="1"/>
  <c r="H90" i="85" s="1"/>
  <c r="I90" i="85" s="1"/>
  <c r="J90" i="85" s="1"/>
  <c r="K90" i="85" s="1"/>
  <c r="L90" i="85" s="1"/>
  <c r="M90" i="85" s="1"/>
  <c r="J27" i="85"/>
  <c r="H27" i="85"/>
  <c r="B14" i="74"/>
  <c r="E16" i="81"/>
  <c r="E15" i="81"/>
  <c r="H14" i="81"/>
  <c r="G10" i="81"/>
  <c r="H10" i="81"/>
  <c r="I10" i="81"/>
  <c r="H13" i="81"/>
  <c r="H12" i="81"/>
  <c r="H11" i="81"/>
  <c r="E10" i="81"/>
  <c r="D10" i="81"/>
  <c r="H7" i="81"/>
  <c r="H6" i="81"/>
  <c r="H5" i="81"/>
  <c r="H4" i="81"/>
  <c r="H3" i="81"/>
  <c r="W27" i="85" l="1"/>
  <c r="AC27" i="85"/>
  <c r="AC43" i="85"/>
  <c r="W43" i="85"/>
  <c r="AB27" i="85"/>
  <c r="U27" i="85"/>
  <c r="AB43" i="85"/>
  <c r="U43" i="85"/>
  <c r="C4" i="31"/>
  <c r="C3" i="31"/>
  <c r="C66" i="9"/>
  <c r="C34" i="34"/>
  <c r="C10" i="34"/>
  <c r="E67" i="34"/>
  <c r="F67" i="34"/>
  <c r="G67" i="34"/>
  <c r="D67" i="34"/>
  <c r="E7" i="34"/>
  <c r="J49" i="67"/>
  <c r="N19" i="1"/>
  <c r="N21" i="1" s="1"/>
  <c r="N6" i="1" s="1"/>
  <c r="C37" i="85" s="1"/>
  <c r="J37" i="85" l="1"/>
  <c r="H37" i="85"/>
  <c r="F37" i="85"/>
  <c r="Y6" i="1"/>
  <c r="C37" i="34"/>
  <c r="F19" i="6"/>
  <c r="D3" i="4"/>
  <c r="U37" i="85" l="1"/>
  <c r="AB37" i="85"/>
  <c r="T49" i="85" s="1"/>
  <c r="G49" i="85" s="1"/>
  <c r="G53" i="85" s="1"/>
  <c r="H53" i="85" s="1"/>
  <c r="AA37" i="85"/>
  <c r="R49" i="85" s="1"/>
  <c r="E49" i="85" s="1"/>
  <c r="S37" i="85"/>
  <c r="AC37" i="85"/>
  <c r="V49" i="85" s="1"/>
  <c r="I49" i="85" s="1"/>
  <c r="W37" i="85"/>
  <c r="E27" i="45"/>
  <c r="R50" i="85" l="1"/>
  <c r="C50" i="85" s="1"/>
  <c r="U6" i="1" s="1"/>
  <c r="E54" i="85"/>
  <c r="F54" i="85" s="1"/>
  <c r="G54" i="85"/>
  <c r="H54" i="85" s="1"/>
  <c r="E53" i="85"/>
  <c r="F53" i="85" s="1"/>
  <c r="I54" i="85"/>
  <c r="J54" i="85" s="1"/>
  <c r="I53" i="85"/>
  <c r="J53" i="85" s="1"/>
  <c r="G14" i="73"/>
  <c r="F14" i="73"/>
  <c r="E14" i="73"/>
  <c r="B3" i="85" l="1"/>
  <c r="B2" i="85"/>
  <c r="C49" i="85"/>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S20" i="79"/>
  <c r="AG20" i="79" s="1"/>
  <c r="T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T40" i="79"/>
  <c r="U46" i="79"/>
  <c r="AI46" i="79" s="1"/>
  <c r="AD47" i="79"/>
  <c r="S48" i="79"/>
  <c r="AG48"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D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AA39" i="71" s="1"/>
  <c r="O39" i="71"/>
  <c r="N39" i="71"/>
  <c r="X39" i="71"/>
  <c r="Q38" i="71"/>
  <c r="P38" i="71"/>
  <c r="O38" i="71"/>
  <c r="N38" i="71"/>
  <c r="Q37" i="71"/>
  <c r="AB37" i="71" s="1"/>
  <c r="P37" i="71"/>
  <c r="O37" i="71"/>
  <c r="Y37" i="71" s="1"/>
  <c r="Z37" i="71" s="1"/>
  <c r="N37" i="71"/>
  <c r="B38" i="71" s="1"/>
  <c r="D37" i="71"/>
  <c r="Q36" i="71"/>
  <c r="P36" i="71"/>
  <c r="AA35" i="71" s="1"/>
  <c r="O36" i="71"/>
  <c r="N36" i="71"/>
  <c r="X36" i="71" s="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Y27" i="71" s="1"/>
  <c r="Z27" i="71" s="1"/>
  <c r="N30" i="71"/>
  <c r="Q29" i="71"/>
  <c r="F30" i="71" s="1"/>
  <c r="P29" i="71"/>
  <c r="O29" i="71"/>
  <c r="N29" i="71"/>
  <c r="D29" i="71"/>
  <c r="O28" i="71"/>
  <c r="N28" i="71"/>
  <c r="B30" i="71"/>
  <c r="B31" i="71" s="1"/>
  <c r="B32" i="71" s="1"/>
  <c r="S32" i="71" s="1"/>
  <c r="E30" i="71"/>
  <c r="E31" i="71" s="1"/>
  <c r="E32" i="71" s="1"/>
  <c r="U32" i="71" s="1"/>
  <c r="B34" i="71"/>
  <c r="B35" i="71" s="1"/>
  <c r="B36" i="71" s="1"/>
  <c r="S36" i="71" s="1"/>
  <c r="B39" i="71"/>
  <c r="B40" i="71" s="1"/>
  <c r="S40" i="71" s="1"/>
  <c r="E38" i="71"/>
  <c r="E39" i="71" s="1"/>
  <c r="E40" i="71"/>
  <c r="U40" i="71" s="1"/>
  <c r="N68" i="71"/>
  <c r="E34" i="71"/>
  <c r="C30" i="71"/>
  <c r="X31" i="71"/>
  <c r="X34" i="71"/>
  <c r="F51" i="71"/>
  <c r="F52" i="71" s="1"/>
  <c r="V52" i="71" s="1"/>
  <c r="B28" i="71"/>
  <c r="B27" i="71" s="1"/>
  <c r="B26" i="71"/>
  <c r="D30" i="71"/>
  <c r="D47" i="71"/>
  <c r="P28" i="71"/>
  <c r="AA3" i="71" s="1"/>
  <c r="E60" i="71"/>
  <c r="U60" i="71" s="1"/>
  <c r="U68" i="71"/>
  <c r="E67" i="71"/>
  <c r="Q28" i="71"/>
  <c r="D54" i="71"/>
  <c r="C59" i="71"/>
  <c r="D58" i="71"/>
  <c r="D62" i="71"/>
  <c r="B66" i="71"/>
  <c r="N65" i="71" s="1"/>
  <c r="T68" i="71"/>
  <c r="D68" i="71"/>
  <c r="Q68" i="71"/>
  <c r="E71" i="71"/>
  <c r="E70" i="71" s="1"/>
  <c r="D76" i="71"/>
  <c r="E79" i="71"/>
  <c r="E78" i="71" s="1"/>
  <c r="D80" i="71"/>
  <c r="C87" i="71"/>
  <c r="C86" i="71" s="1"/>
  <c r="D86" i="71" s="1"/>
  <c r="F28" i="71"/>
  <c r="F27" i="71" s="1"/>
  <c r="F26" i="71" s="1"/>
  <c r="N66"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H25" i="40"/>
  <c r="AB25" i="40" s="1"/>
  <c r="J25" i="40"/>
  <c r="H29" i="39"/>
  <c r="AB29" i="39" s="1"/>
  <c r="J29" i="39"/>
  <c r="J18" i="36"/>
  <c r="AC18" i="36" s="1"/>
  <c r="H18" i="35"/>
  <c r="AB18" i="35" s="1"/>
  <c r="J18" i="35"/>
  <c r="H21" i="37"/>
  <c r="F21" i="37"/>
  <c r="AA21" i="37" s="1"/>
  <c r="H21" i="34"/>
  <c r="AB21" i="34" s="1"/>
  <c r="H21" i="33"/>
  <c r="U21" i="33" s="1"/>
  <c r="F21" i="33"/>
  <c r="AA21" i="33" s="1"/>
  <c r="H1" i="69"/>
  <c r="AC25" i="40"/>
  <c r="W25" i="40"/>
  <c r="U25" i="40"/>
  <c r="U29" i="39"/>
  <c r="W18" i="36"/>
  <c r="AB21" i="37"/>
  <c r="U21" i="37"/>
  <c r="S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58" i="31"/>
  <c r="S356" i="31"/>
  <c r="S350" i="31"/>
  <c r="S342" i="31"/>
  <c r="S334" i="31"/>
  <c r="S326" i="31"/>
  <c r="S282" i="31"/>
  <c r="S278" i="31"/>
  <c r="S274" i="31"/>
  <c r="S270" i="31"/>
  <c r="S266" i="31"/>
  <c r="S262" i="31"/>
  <c r="S258" i="31"/>
  <c r="S254" i="31"/>
  <c r="S250" i="31"/>
  <c r="S246" i="31"/>
  <c r="S242" i="31"/>
  <c r="S238" i="31"/>
  <c r="S234" i="31"/>
  <c r="S230" i="31"/>
  <c r="S226" i="31"/>
  <c r="S426" i="31"/>
  <c r="S222" i="31"/>
  <c r="S221"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4" i="31"/>
  <c r="S490" i="31"/>
  <c r="S486" i="31"/>
  <c r="S482" i="31"/>
  <c r="S478" i="31"/>
  <c r="S474" i="31"/>
  <c r="S470" i="31"/>
  <c r="S442" i="31"/>
  <c r="S438" i="31"/>
  <c r="S434" i="31"/>
  <c r="S430" i="31"/>
  <c r="S122" i="31"/>
  <c r="S118" i="31"/>
  <c r="S114" i="31"/>
  <c r="S506" i="31"/>
  <c r="S502" i="31"/>
  <c r="S498" i="31"/>
  <c r="S466" i="31"/>
  <c r="S462" i="31"/>
  <c r="S458" i="31"/>
  <c r="S454" i="31"/>
  <c r="S450" i="31"/>
  <c r="S54" i="31"/>
  <c r="S50" i="31"/>
  <c r="S46" i="31"/>
  <c r="S42" i="31"/>
  <c r="S38" i="31"/>
  <c r="S34" i="31"/>
  <c r="S74" i="31"/>
  <c r="S70" i="31"/>
  <c r="S66" i="31"/>
  <c r="S62" i="31"/>
  <c r="S58" i="31"/>
  <c r="S94" i="31"/>
  <c r="S90" i="31"/>
  <c r="S86" i="31"/>
  <c r="S82" i="31"/>
  <c r="S78" i="31"/>
  <c r="S30" i="31"/>
  <c r="S98" i="31"/>
  <c r="S102" i="31"/>
  <c r="S106" i="31"/>
  <c r="S110" i="31"/>
  <c r="S446" i="31"/>
  <c r="S510"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8" i="31"/>
  <c r="S522"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U9" i="34" s="1"/>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F36" i="34"/>
  <c r="AA36" i="34" s="1"/>
  <c r="J35" i="34"/>
  <c r="W35" i="34" s="1"/>
  <c r="H39" i="33"/>
  <c r="AB39" i="33" s="1"/>
  <c r="F26" i="33"/>
  <c r="AA26" i="33"/>
  <c r="U33" i="33"/>
  <c r="U35" i="33"/>
  <c r="S40" i="33"/>
  <c r="W33" i="33"/>
  <c r="W39" i="33"/>
  <c r="H39" i="37"/>
  <c r="AB39" i="37" s="1"/>
  <c r="S27" i="35"/>
  <c r="F11" i="40"/>
  <c r="AA11" i="40" s="1"/>
  <c r="H11" i="40"/>
  <c r="AB11" i="40"/>
  <c r="W8" i="40"/>
  <c r="AA9" i="40"/>
  <c r="U9" i="40"/>
  <c r="S34"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AC23" i="34" s="1"/>
  <c r="F19" i="34"/>
  <c r="S19" i="34" s="1"/>
  <c r="H17" i="34"/>
  <c r="U17" i="34" s="1"/>
  <c r="F15" i="34"/>
  <c r="AA15" i="34" s="1"/>
  <c r="J15" i="34"/>
  <c r="W15" i="34" s="1"/>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AC36"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AC44" i="34" s="1"/>
  <c r="F44" i="34"/>
  <c r="S44" i="34" s="1"/>
  <c r="J10" i="35"/>
  <c r="AC10" i="35" s="1"/>
  <c r="J14" i="21"/>
  <c r="W14" i="21"/>
  <c r="F14" i="21"/>
  <c r="S14" i="21" s="1"/>
  <c r="H14" i="21"/>
  <c r="U14" i="21" s="1"/>
  <c r="H28" i="21"/>
  <c r="AB28" i="21" s="1"/>
  <c r="F28" i="21"/>
  <c r="AA28" i="21"/>
  <c r="J28" i="21"/>
  <c r="W28" i="21" s="1"/>
  <c r="H30" i="21"/>
  <c r="AB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AZ494" i="3" s="1"/>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U39" i="37"/>
  <c r="U26" i="37"/>
  <c r="W47" i="34"/>
  <c r="AA13"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AZ373" i="3" s="1"/>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AZ132" i="3" s="1"/>
  <c r="G133" i="3"/>
  <c r="BA135" i="3"/>
  <c r="BL136" i="3"/>
  <c r="G137" i="3"/>
  <c r="BA139" i="3"/>
  <c r="BL140" i="3"/>
  <c r="G141" i="3"/>
  <c r="BA143" i="3"/>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AZ171" i="3"/>
  <c r="BL172" i="3"/>
  <c r="G173" i="3"/>
  <c r="BA175" i="3"/>
  <c r="AZ175" i="3"/>
  <c r="BL176" i="3"/>
  <c r="G177" i="3"/>
  <c r="BA179" i="3"/>
  <c r="BL180" i="3"/>
  <c r="G181" i="3"/>
  <c r="BA183" i="3"/>
  <c r="AZ183" i="3" s="1"/>
  <c r="BL184" i="3"/>
  <c r="G185" i="3"/>
  <c r="BA187" i="3"/>
  <c r="AZ187" i="3" s="1"/>
  <c r="BL188" i="3"/>
  <c r="AZ188" i="3" s="1"/>
  <c r="G189" i="3"/>
  <c r="BA191" i="3"/>
  <c r="BL192" i="3"/>
  <c r="G193" i="3"/>
  <c r="BA195" i="3"/>
  <c r="AZ195" i="3" s="1"/>
  <c r="BL196" i="3"/>
  <c r="G197" i="3"/>
  <c r="BA199" i="3"/>
  <c r="AZ199" i="3" s="1"/>
  <c r="BL200" i="3"/>
  <c r="G201" i="3"/>
  <c r="BA203" i="3"/>
  <c r="BL204" i="3"/>
  <c r="AZ55" i="3"/>
  <c r="AZ79" i="3"/>
  <c r="AZ144" i="3"/>
  <c r="AZ168" i="3"/>
  <c r="AZ176"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4" i="3"/>
  <c r="G342" i="3"/>
  <c r="BL345" i="3"/>
  <c r="AZ345" i="3" s="1"/>
  <c r="G346" i="3"/>
  <c r="BL349" i="3"/>
  <c r="BL352" i="3"/>
  <c r="G353" i="3"/>
  <c r="BA357" i="3"/>
  <c r="BL358" i="3"/>
  <c r="G359" i="3"/>
  <c r="BA361" i="3"/>
  <c r="AZ361" i="3"/>
  <c r="BL362" i="3"/>
  <c r="G363" i="3"/>
  <c r="BA365" i="3"/>
  <c r="BL366" i="3"/>
  <c r="G367" i="3"/>
  <c r="BA369" i="3"/>
  <c r="BL370" i="3"/>
  <c r="G371" i="3"/>
  <c r="BA373" i="3"/>
  <c r="BL374" i="3"/>
  <c r="G375" i="3"/>
  <c r="BA377" i="3"/>
  <c r="AZ377" i="3"/>
  <c r="AZ233" i="3"/>
  <c r="BA379" i="3"/>
  <c r="AZ379" i="3" s="1"/>
  <c r="BL380" i="3"/>
  <c r="G381" i="3"/>
  <c r="BA383" i="3"/>
  <c r="AZ383" i="3" s="1"/>
  <c r="BL384" i="3"/>
  <c r="G385" i="3"/>
  <c r="BA387" i="3"/>
  <c r="AZ387" i="3" s="1"/>
  <c r="BL388" i="3"/>
  <c r="G389" i="3"/>
  <c r="BA391" i="3"/>
  <c r="AZ391" i="3" s="1"/>
  <c r="BL392" i="3"/>
  <c r="AZ392" i="3" s="1"/>
  <c r="G393" i="3"/>
  <c r="AZ283" i="3"/>
  <c r="AZ291" i="3"/>
  <c r="BM5" i="3"/>
  <c r="BJ5" i="3"/>
  <c r="BH5" i="3"/>
  <c r="BF5" i="3"/>
  <c r="BD5" i="3"/>
  <c r="AZ341" i="3"/>
  <c r="AZ506" i="3"/>
  <c r="AZ496" i="3"/>
  <c r="G548" i="3"/>
  <c r="G538" i="3"/>
  <c r="G520" i="3"/>
  <c r="G502" i="3"/>
  <c r="BS5" i="3"/>
  <c r="BP5" i="3"/>
  <c r="BN5" i="3"/>
  <c r="BK5" i="3"/>
  <c r="BI5" i="3"/>
  <c r="BG5" i="3"/>
  <c r="BC5" i="3"/>
  <c r="G17" i="3"/>
  <c r="BA17" i="3"/>
  <c r="BT5" i="3"/>
  <c r="AZ356" i="3"/>
  <c r="BA15" i="3"/>
  <c r="BB5" i="3"/>
  <c r="AZ499" i="3"/>
  <c r="AZ509" i="3"/>
  <c r="G509" i="3"/>
  <c r="BL493" i="3"/>
  <c r="AZ493" i="3" s="1"/>
  <c r="U36" i="40"/>
  <c r="F83" i="43"/>
  <c r="H85" i="43" s="1"/>
  <c r="F50" i="43"/>
  <c r="H54" i="43" s="1"/>
  <c r="F72" i="43"/>
  <c r="H75" i="43" s="1"/>
  <c r="U17" i="39"/>
  <c r="S14" i="35"/>
  <c r="U43" i="21"/>
  <c r="U35" i="21"/>
  <c r="AC35" i="21"/>
  <c r="AC11" i="39"/>
  <c r="AZ563" i="3"/>
  <c r="AZ501" i="3"/>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280" i="3"/>
  <c r="AZ130" i="3"/>
  <c r="AZ69" i="3"/>
  <c r="AZ74" i="3"/>
  <c r="F23" i="39"/>
  <c r="AA23" i="39" s="1"/>
  <c r="H27" i="36"/>
  <c r="U27" i="36" s="1"/>
  <c r="F27" i="36"/>
  <c r="AA27" i="36" s="1"/>
  <c r="H33" i="34"/>
  <c r="U33" i="34" s="1"/>
  <c r="F32" i="37"/>
  <c r="AA32" i="37" s="1"/>
  <c r="F20" i="36"/>
  <c r="AA20" i="36" s="1"/>
  <c r="J33" i="34"/>
  <c r="AC33" i="34" s="1"/>
  <c r="H23" i="39"/>
  <c r="U23" i="39" s="1"/>
  <c r="K9" i="1"/>
  <c r="M9" i="1" s="1"/>
  <c r="K6" i="1"/>
  <c r="AP6" i="1" s="1"/>
  <c r="G29" i="6"/>
  <c r="AC26" i="33"/>
  <c r="W26" i="33"/>
  <c r="AC27" i="34"/>
  <c r="AB34" i="36"/>
  <c r="U34" i="36"/>
  <c r="AB33" i="36"/>
  <c r="U33" i="36"/>
  <c r="AC12" i="39"/>
  <c r="W12" i="39"/>
  <c r="AZ586" i="3"/>
  <c r="W12" i="33"/>
  <c r="AC12" i="33"/>
  <c r="AA32" i="36"/>
  <c r="S32" i="36"/>
  <c r="AZ473" i="3"/>
  <c r="BL14" i="3"/>
  <c r="U30" i="33"/>
  <c r="AC13" i="34"/>
  <c r="AA47" i="34"/>
  <c r="W28" i="37"/>
  <c r="S19" i="39"/>
  <c r="F12" i="33"/>
  <c r="H12" i="39"/>
  <c r="AB12" i="39"/>
  <c r="F39" i="40"/>
  <c r="BA14" i="3"/>
  <c r="AZ14" i="3" s="1"/>
  <c r="AZ367" i="3"/>
  <c r="AZ254" i="3"/>
  <c r="B12" i="1"/>
  <c r="E12" i="1" s="1"/>
  <c r="B10" i="1"/>
  <c r="E10" i="1" s="1"/>
  <c r="K12" i="1"/>
  <c r="M12" i="1" s="1"/>
  <c r="S13" i="1"/>
  <c r="AR13" i="1" s="1"/>
  <c r="R13" i="1"/>
  <c r="C42" i="1"/>
  <c r="C24" i="12" s="1"/>
  <c r="AC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U39"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G13" i="3"/>
  <c r="BA13" i="3"/>
  <c r="BL17" i="3"/>
  <c r="AZ17" i="3" s="1"/>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A31" i="34"/>
  <c r="AA30" i="34"/>
  <c r="AB47" i="34"/>
  <c r="U25" i="34"/>
  <c r="AC14" i="34"/>
  <c r="AC32" i="34"/>
  <c r="AC29" i="34"/>
  <c r="W29" i="34"/>
  <c r="W46" i="34"/>
  <c r="AC46" i="34"/>
  <c r="S32" i="34"/>
  <c r="AA32" i="34"/>
  <c r="U30" i="34"/>
  <c r="AB30" i="34"/>
  <c r="AA19" i="34"/>
  <c r="S8"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AB23" i="21" s="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AC27" i="33"/>
  <c r="W25" i="33"/>
  <c r="AC25" i="33"/>
  <c r="AB19" i="33"/>
  <c r="U19" i="33"/>
  <c r="AA17" i="33"/>
  <c r="U23" i="21"/>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6" i="67"/>
  <c r="F6" i="15"/>
  <c r="L48" i="67"/>
  <c r="B12" i="76"/>
  <c r="M9" i="15"/>
  <c r="M26" i="67"/>
  <c r="E9" i="76"/>
  <c r="F9" i="15"/>
  <c r="F13" i="67"/>
  <c r="L47" i="67"/>
  <c r="M28" i="67"/>
  <c r="E12" i="76"/>
  <c r="B7" i="76"/>
  <c r="M6" i="67"/>
  <c r="M22" i="67"/>
  <c r="M8" i="67"/>
  <c r="B10" i="76"/>
  <c r="M24" i="67"/>
  <c r="F4" i="73"/>
  <c r="E8" i="76"/>
  <c r="F8" i="67"/>
  <c r="F37" i="67"/>
  <c r="M9" i="67"/>
  <c r="F7" i="15"/>
  <c r="F42" i="67"/>
  <c r="M29" i="15"/>
  <c r="M26" i="15"/>
  <c r="M29" i="67"/>
  <c r="M23" i="67"/>
  <c r="M8" i="15"/>
  <c r="F37" i="15"/>
  <c r="B9" i="76"/>
  <c r="F13" i="15"/>
  <c r="F43" i="15"/>
  <c r="F5" i="73"/>
  <c r="F36" i="15"/>
  <c r="F7" i="67"/>
  <c r="AO13" i="1"/>
  <c r="L48" i="15"/>
  <c r="M28" i="15"/>
  <c r="J15" i="15"/>
  <c r="C76" i="67"/>
  <c r="F3" i="73"/>
  <c r="F16" i="15"/>
  <c r="M23" i="15"/>
  <c r="J15" i="67"/>
  <c r="F26" i="15"/>
  <c r="C76" i="15"/>
  <c r="F38" i="15"/>
  <c r="F9" i="67"/>
  <c r="B11" i="76"/>
  <c r="F43" i="67"/>
  <c r="E13" i="76"/>
  <c r="F20" i="31"/>
  <c r="B13" i="76"/>
  <c r="F26" i="67"/>
  <c r="B8" i="76"/>
  <c r="F38" i="67"/>
  <c r="M22" i="15"/>
  <c r="F7" i="73"/>
  <c r="D6" i="73"/>
  <c r="L47" i="15"/>
  <c r="F42" i="15"/>
  <c r="E10" i="76"/>
  <c r="F6" i="67"/>
  <c r="F40" i="67"/>
  <c r="E2" i="68"/>
  <c r="F8" i="15"/>
  <c r="F6" i="73"/>
  <c r="F36" i="67"/>
  <c r="M6" i="15"/>
  <c r="E11" i="76"/>
  <c r="E7" i="76"/>
  <c r="E2" i="69"/>
  <c r="F40" i="15"/>
  <c r="M24" i="15"/>
  <c r="F34" i="15" l="1"/>
  <c r="F62" i="15" s="1"/>
  <c r="M20" i="67"/>
  <c r="AA46" i="34"/>
  <c r="AA45" i="34"/>
  <c r="AC45" i="34"/>
  <c r="AB23" i="34"/>
  <c r="S21" i="34"/>
  <c r="AC15" i="34"/>
  <c r="U15" i="34"/>
  <c r="AC43" i="34"/>
  <c r="S37" i="34"/>
  <c r="AB45" i="34"/>
  <c r="W44" i="34"/>
  <c r="AB41" i="34"/>
  <c r="U34" i="34"/>
  <c r="AA40" i="34"/>
  <c r="S43" i="34"/>
  <c r="U43" i="34"/>
  <c r="AB35" i="34"/>
  <c r="S23" i="34"/>
  <c r="U19" i="34"/>
  <c r="U38" i="34"/>
  <c r="W40" i="34"/>
  <c r="AB40" i="34"/>
  <c r="S36" i="34"/>
  <c r="AB36" i="34"/>
  <c r="S35" i="34"/>
  <c r="W33" i="34"/>
  <c r="AB33" i="34"/>
  <c r="AA33" i="34"/>
  <c r="U27" i="34"/>
  <c r="AB9" i="34"/>
  <c r="W9" i="34"/>
  <c r="W8" i="34"/>
  <c r="E19" i="69"/>
  <c r="E19" i="11"/>
  <c r="B41" i="1"/>
  <c r="F48" i="9" s="1"/>
  <c r="O52" i="9" s="1"/>
  <c r="D93" i="9"/>
  <c r="F28" i="15"/>
  <c r="C28" i="15" s="1"/>
  <c r="F32" i="67"/>
  <c r="F60" i="67" s="1"/>
  <c r="F28" i="67"/>
  <c r="F54" i="9"/>
  <c r="F32" i="15"/>
  <c r="F60" i="15" s="1"/>
  <c r="F52" i="9"/>
  <c r="D68" i="9"/>
  <c r="F30" i="69"/>
  <c r="F48" i="69" s="1"/>
  <c r="F31" i="12"/>
  <c r="M18" i="15"/>
  <c r="M18" i="67"/>
  <c r="F30" i="11"/>
  <c r="C48" i="11" s="1"/>
  <c r="F30" i="68"/>
  <c r="F48" i="68" s="1"/>
  <c r="F29" i="6"/>
  <c r="C21" i="71"/>
  <c r="D21" i="71" s="1"/>
  <c r="AC39" i="34"/>
  <c r="S32" i="37"/>
  <c r="S20" i="35"/>
  <c r="AA34" i="33"/>
  <c r="AZ364" i="3"/>
  <c r="AB34" i="35"/>
  <c r="U34" i="35"/>
  <c r="AZ366" i="3"/>
  <c r="AZ362" i="3"/>
  <c r="S25" i="21"/>
  <c r="AA25" i="21"/>
  <c r="AA14" i="37"/>
  <c r="S14" i="37"/>
  <c r="W23" i="21"/>
  <c r="AZ334" i="3"/>
  <c r="AZ347" i="3"/>
  <c r="AZ344" i="3"/>
  <c r="AZ336" i="3"/>
  <c r="AZ305" i="3"/>
  <c r="AZ380" i="3"/>
  <c r="AC5" i="3"/>
  <c r="G521" i="3"/>
  <c r="AZ513" i="3"/>
  <c r="AZ306" i="3"/>
  <c r="AZ548" i="3"/>
  <c r="U33" i="40"/>
  <c r="AB33" i="40"/>
  <c r="AZ360" i="3"/>
  <c r="AC31" i="33"/>
  <c r="AZ539" i="3"/>
  <c r="AZ529" i="3"/>
  <c r="AZ537" i="3"/>
  <c r="AZ518" i="3"/>
  <c r="AZ546" i="3"/>
  <c r="AZ585" i="3"/>
  <c r="AB45" i="33"/>
  <c r="U46" i="34"/>
  <c r="U30" i="21"/>
  <c r="AA44" i="34"/>
  <c r="AA29" i="35"/>
  <c r="AB17" i="34"/>
  <c r="W36" i="34"/>
  <c r="BL587" i="3"/>
  <c r="AZ587" i="3" s="1"/>
  <c r="J23" i="35"/>
  <c r="H23" i="35"/>
  <c r="W31" i="35"/>
  <c r="AC31" i="35"/>
  <c r="BA551" i="3"/>
  <c r="AZ551" i="3" s="1"/>
  <c r="BA550" i="3"/>
  <c r="BL548" i="3"/>
  <c r="AZ407" i="3"/>
  <c r="AZ384" i="3"/>
  <c r="AZ357" i="3"/>
  <c r="AZ322" i="3"/>
  <c r="AZ313" i="3"/>
  <c r="AZ124" i="3"/>
  <c r="AZ394" i="3"/>
  <c r="S14" i="40"/>
  <c r="AZ519" i="3"/>
  <c r="AZ531" i="3"/>
  <c r="AZ573" i="3"/>
  <c r="AZ583" i="3"/>
  <c r="AZ568" i="3"/>
  <c r="AZ576" i="3"/>
  <c r="AA14" i="34"/>
  <c r="G587" i="3"/>
  <c r="J9" i="33"/>
  <c r="J9" i="36"/>
  <c r="AZ523" i="3"/>
  <c r="AZ547" i="3"/>
  <c r="AZ571" i="3"/>
  <c r="AZ579" i="3"/>
  <c r="B97" i="43"/>
  <c r="B75" i="43"/>
  <c r="AC22" i="35"/>
  <c r="W22" i="35"/>
  <c r="H23" i="36"/>
  <c r="J23" i="36"/>
  <c r="J39" i="40"/>
  <c r="H39" i="40"/>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BA368" i="3"/>
  <c r="AZ217" i="3"/>
  <c r="BL585" i="3"/>
  <c r="H24" i="36"/>
  <c r="H38" i="40"/>
  <c r="G558"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G443" i="3"/>
  <c r="BA446" i="3"/>
  <c r="BA450" i="3"/>
  <c r="BA453" i="3"/>
  <c r="BA455" i="3"/>
  <c r="AZ455" i="3" s="1"/>
  <c r="BL457" i="3"/>
  <c r="BL460" i="3"/>
  <c r="BL461" i="3"/>
  <c r="BL463" i="3"/>
  <c r="G465" i="3"/>
  <c r="BA471" i="3"/>
  <c r="G488" i="3"/>
  <c r="BL317" i="3"/>
  <c r="BA349" i="3"/>
  <c r="AZ349" i="3" s="1"/>
  <c r="BA353" i="3"/>
  <c r="AZ353" i="3" s="1"/>
  <c r="BL353" i="3"/>
  <c r="BA358" i="3"/>
  <c r="AZ358" i="3" s="1"/>
  <c r="BL365" i="3"/>
  <c r="AZ365" i="3" s="1"/>
  <c r="BL550"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G450" i="3"/>
  <c r="BA454" i="3"/>
  <c r="BA457" i="3"/>
  <c r="AZ457" i="3" s="1"/>
  <c r="BA459" i="3"/>
  <c r="AZ459" i="3" s="1"/>
  <c r="BA460" i="3"/>
  <c r="AZ460" i="3" s="1"/>
  <c r="BA461" i="3"/>
  <c r="AZ461" i="3" s="1"/>
  <c r="BL464" i="3"/>
  <c r="AZ464" i="3" s="1"/>
  <c r="BL466" i="3"/>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A401" i="3"/>
  <c r="BA403" i="3"/>
  <c r="BA404" i="3"/>
  <c r="BA405" i="3"/>
  <c r="AZ405" i="3" s="1"/>
  <c r="BL410" i="3"/>
  <c r="G412" i="3"/>
  <c r="AZ419" i="3"/>
  <c r="AZ422" i="3"/>
  <c r="AZ448" i="3"/>
  <c r="AZ466" i="3"/>
  <c r="BA482" i="3"/>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BA126" i="3"/>
  <c r="BA129" i="3"/>
  <c r="BA133" i="3"/>
  <c r="BA145" i="3"/>
  <c r="BA156" i="3"/>
  <c r="AZ156" i="3" s="1"/>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AZ273" i="3" s="1"/>
  <c r="BL292" i="3"/>
  <c r="BA294" i="3"/>
  <c r="AZ294" i="3" s="1"/>
  <c r="BL295" i="3"/>
  <c r="BA298" i="3"/>
  <c r="AZ298" i="3" s="1"/>
  <c r="BA114" i="3"/>
  <c r="BA370" i="3"/>
  <c r="AZ370" i="3" s="1"/>
  <c r="BA386" i="3"/>
  <c r="AZ386" i="3" s="1"/>
  <c r="G397" i="3"/>
  <c r="G210" i="3"/>
  <c r="BA216" i="3"/>
  <c r="AZ216" i="3" s="1"/>
  <c r="BA218" i="3"/>
  <c r="BL218" i="3"/>
  <c r="BL220" i="3"/>
  <c r="BL221" i="3"/>
  <c r="G222" i="3"/>
  <c r="BL223" i="3"/>
  <c r="G224" i="3"/>
  <c r="BA229" i="3"/>
  <c r="BL229" i="3"/>
  <c r="BL231"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L133" i="3"/>
  <c r="BL135" i="3"/>
  <c r="AZ135" i="3" s="1"/>
  <c r="BA153" i="3"/>
  <c r="BA239" i="3"/>
  <c r="BL239" i="3"/>
  <c r="BA241" i="3"/>
  <c r="BL241" i="3"/>
  <c r="BA244" i="3"/>
  <c r="BL244" i="3"/>
  <c r="BA246" i="3"/>
  <c r="AZ270" i="3"/>
  <c r="BA277" i="3"/>
  <c r="AZ277" i="3" s="1"/>
  <c r="BL277" i="3"/>
  <c r="BA282" i="3"/>
  <c r="BL282" i="3"/>
  <c r="BA284" i="3"/>
  <c r="AZ284" i="3" s="1"/>
  <c r="BA297" i="3"/>
  <c r="BL297" i="3"/>
  <c r="BL300" i="3"/>
  <c r="BA302" i="3"/>
  <c r="AZ302" i="3" s="1"/>
  <c r="BA117" i="3"/>
  <c r="BA137" i="3"/>
  <c r="AZ137" i="3" s="1"/>
  <c r="BL139" i="3"/>
  <c r="AZ139" i="3" s="1"/>
  <c r="BL141" i="3"/>
  <c r="BL143" i="3"/>
  <c r="AZ143" i="3" s="1"/>
  <c r="BL154" i="3"/>
  <c r="BA157" i="3"/>
  <c r="AZ157" i="3" s="1"/>
  <c r="BL155" i="3"/>
  <c r="AZ155" i="3" s="1"/>
  <c r="BA164" i="3"/>
  <c r="AZ164" i="3" s="1"/>
  <c r="BA166" i="3"/>
  <c r="AZ166" i="3" s="1"/>
  <c r="BA184" i="3"/>
  <c r="AZ184" i="3" s="1"/>
  <c r="BL189" i="3"/>
  <c r="AZ189" i="3" s="1"/>
  <c r="BL190" i="3"/>
  <c r="AZ190" i="3" s="1"/>
  <c r="BA192" i="3"/>
  <c r="AZ192" i="3" s="1"/>
  <c r="BA200" i="3"/>
  <c r="AZ200" i="3" s="1"/>
  <c r="BA202" i="3"/>
  <c r="BA20" i="3"/>
  <c r="AZ27" i="3"/>
  <c r="AZ62" i="3"/>
  <c r="AZ64" i="3"/>
  <c r="AZ70" i="3"/>
  <c r="AA18" i="36"/>
  <c r="S18" i="36"/>
  <c r="C28" i="71"/>
  <c r="Y28" i="71"/>
  <c r="Z28" i="71" s="1"/>
  <c r="Y25" i="71"/>
  <c r="Z25" i="71" s="1"/>
  <c r="D34" i="71"/>
  <c r="C35" i="71"/>
  <c r="AA37" i="71"/>
  <c r="AA38" i="71"/>
  <c r="C44" i="71"/>
  <c r="D43" i="71"/>
  <c r="V24" i="71"/>
  <c r="E23" i="71"/>
  <c r="E22" i="71" s="1"/>
  <c r="E21" i="71" s="1"/>
  <c r="E20" i="71" s="1"/>
  <c r="E19" i="71" s="1"/>
  <c r="E18" i="71" s="1"/>
  <c r="E17" i="71" s="1"/>
  <c r="E16" i="71"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AZ31" i="3" s="1"/>
  <c r="G35" i="3"/>
  <c r="G36" i="3"/>
  <c r="G37" i="3"/>
  <c r="G40" i="3"/>
  <c r="BL40" i="3"/>
  <c r="BL41" i="3"/>
  <c r="AZ41" i="3" s="1"/>
  <c r="G45" i="3"/>
  <c r="BL45" i="3"/>
  <c r="BA48" i="3"/>
  <c r="BA49" i="3"/>
  <c r="AZ49" i="3" s="1"/>
  <c r="BA51" i="3"/>
  <c r="AZ51" i="3" s="1"/>
  <c r="G54" i="3"/>
  <c r="G55" i="3"/>
  <c r="BL56" i="3"/>
  <c r="BA58" i="3"/>
  <c r="AZ58" i="3" s="1"/>
  <c r="BL59" i="3"/>
  <c r="AZ59" i="3" s="1"/>
  <c r="BL60" i="3"/>
  <c r="BA61" i="3"/>
  <c r="AZ61" i="3" s="1"/>
  <c r="AC29" i="39"/>
  <c r="W29" i="39"/>
  <c r="AA34" i="71"/>
  <c r="AA30" i="71"/>
  <c r="Y35" i="71"/>
  <c r="Z35" i="71" s="1"/>
  <c r="D56" i="71"/>
  <c r="T56" i="71"/>
  <c r="F66" i="71"/>
  <c r="Q67" i="71"/>
  <c r="T80" i="71"/>
  <c r="C79" i="71"/>
  <c r="X25" i="71"/>
  <c r="BL177" i="3"/>
  <c r="AZ177" i="3" s="1"/>
  <c r="BA186" i="3"/>
  <c r="AZ186" i="3" s="1"/>
  <c r="BA197" i="3"/>
  <c r="AZ197" i="3" s="1"/>
  <c r="BL201" i="3"/>
  <c r="AZ201" i="3" s="1"/>
  <c r="BL203" i="3"/>
  <c r="AZ203" i="3" s="1"/>
  <c r="BA204" i="3"/>
  <c r="AZ204" i="3" s="1"/>
  <c r="BA18" i="3"/>
  <c r="BL21" i="3"/>
  <c r="BL29" i="3"/>
  <c r="BA37" i="3"/>
  <c r="BL39" i="3"/>
  <c r="BA45" i="3"/>
  <c r="AZ45" i="3" s="1"/>
  <c r="BA46" i="3"/>
  <c r="BL49" i="3"/>
  <c r="BL50" i="3"/>
  <c r="AZ50" i="3" s="1"/>
  <c r="BL51" i="3"/>
  <c r="BL53" i="3"/>
  <c r="BA56" i="3"/>
  <c r="BA57" i="3"/>
  <c r="BL58" i="3"/>
  <c r="BA60" i="3"/>
  <c r="AZ60" i="3" s="1"/>
  <c r="BA63" i="3"/>
  <c r="BA66" i="3"/>
  <c r="BA71" i="3"/>
  <c r="BA77" i="3"/>
  <c r="AZ77" i="3" s="1"/>
  <c r="BL82" i="3"/>
  <c r="BA84" i="3"/>
  <c r="BL103" i="3"/>
  <c r="P27" i="6"/>
  <c r="C38" i="71"/>
  <c r="F34" i="71"/>
  <c r="F35" i="71" s="1"/>
  <c r="F36" i="71" s="1"/>
  <c r="V36" i="71" s="1"/>
  <c r="AB33" i="71"/>
  <c r="AB32" i="71"/>
  <c r="AB27" i="71"/>
  <c r="X38" i="71"/>
  <c r="X26" i="71"/>
  <c r="D67" i="71"/>
  <c r="C66" i="71"/>
  <c r="O67" i="71"/>
  <c r="Y26" i="71"/>
  <c r="Z26" i="71"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AZ29" i="3" s="1"/>
  <c r="BA36" i="3"/>
  <c r="BL38" i="3"/>
  <c r="AZ38" i="3" s="1"/>
  <c r="BA39" i="3"/>
  <c r="AZ39" i="3" s="1"/>
  <c r="BL47" i="3"/>
  <c r="AZ47" i="3" s="1"/>
  <c r="G49" i="3"/>
  <c r="G50" i="3"/>
  <c r="G52" i="3"/>
  <c r="BA52" i="3"/>
  <c r="AZ52" i="3" s="1"/>
  <c r="BA53" i="3"/>
  <c r="BA54" i="3"/>
  <c r="BL57" i="3"/>
  <c r="G59" i="3"/>
  <c r="G62" i="3"/>
  <c r="BL62" i="3"/>
  <c r="BL63" i="3"/>
  <c r="G65" i="3"/>
  <c r="BL65" i="3"/>
  <c r="AZ65" i="3" s="1"/>
  <c r="BL66" i="3"/>
  <c r="BL67" i="3"/>
  <c r="AZ67" i="3" s="1"/>
  <c r="G69" i="3"/>
  <c r="G70" i="3"/>
  <c r="BL70" i="3"/>
  <c r="BL71" i="3"/>
  <c r="BL72" i="3"/>
  <c r="AZ72" i="3" s="1"/>
  <c r="G74" i="3"/>
  <c r="BA88" i="3"/>
  <c r="AZ88" i="3" s="1"/>
  <c r="F40" i="68"/>
  <c r="C21" i="68"/>
  <c r="E28" i="71"/>
  <c r="AA27" i="71"/>
  <c r="AA28" i="71"/>
  <c r="C31" i="71"/>
  <c r="Y30" i="71"/>
  <c r="Z30" i="71" s="1"/>
  <c r="Y29" i="71"/>
  <c r="Z29" i="71" s="1"/>
  <c r="D50" i="71"/>
  <c r="C51" i="71"/>
  <c r="C64" i="71"/>
  <c r="D63" i="71"/>
  <c r="T72" i="71"/>
  <c r="C71" i="71"/>
  <c r="U76" i="71"/>
  <c r="E75" i="71"/>
  <c r="E74" i="71" s="1"/>
  <c r="D84" i="71"/>
  <c r="C83" i="71"/>
  <c r="BL85" i="3"/>
  <c r="BA86" i="3"/>
  <c r="AZ86" i="3" s="1"/>
  <c r="BA87" i="3"/>
  <c r="BA91" i="3"/>
  <c r="AZ91" i="3" s="1"/>
  <c r="BL97" i="3"/>
  <c r="AZ97" i="3" s="1"/>
  <c r="BL101" i="3"/>
  <c r="AZ101" i="3" s="1"/>
  <c r="BL102" i="3"/>
  <c r="BL106" i="3"/>
  <c r="BA108" i="3"/>
  <c r="BA110" i="3"/>
  <c r="AZ110" i="3" s="1"/>
  <c r="F3" i="35"/>
  <c r="S21" i="33"/>
  <c r="AB25" i="71"/>
  <c r="X33" i="71"/>
  <c r="BA68" i="3"/>
  <c r="AZ68" i="3" s="1"/>
  <c r="BA73" i="3"/>
  <c r="AZ73" i="3" s="1"/>
  <c r="BA80" i="3"/>
  <c r="G84" i="3"/>
  <c r="BL84" i="3"/>
  <c r="BA89" i="3"/>
  <c r="G99" i="3"/>
  <c r="G103" i="3"/>
  <c r="BA103" i="3"/>
  <c r="AZ103" i="3" s="1"/>
  <c r="BA104" i="3"/>
  <c r="BA106" i="3"/>
  <c r="BL108" i="3"/>
  <c r="G110" i="3"/>
  <c r="BL111" i="3"/>
  <c r="C5" i="68"/>
  <c r="P66" i="71"/>
  <c r="AB26" i="71"/>
  <c r="S28" i="71"/>
  <c r="C75" i="71"/>
  <c r="O68" i="71"/>
  <c r="D46" i="71"/>
  <c r="X35" i="71"/>
  <c r="X28" i="71"/>
  <c r="X32" i="71"/>
  <c r="F38" i="71"/>
  <c r="F39" i="71" s="1"/>
  <c r="F40" i="71" s="1"/>
  <c r="V40" i="71" s="1"/>
  <c r="AB38" i="71"/>
  <c r="F75" i="71"/>
  <c r="F74" i="71" s="1"/>
  <c r="B79" i="71"/>
  <c r="B78" i="71" s="1"/>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K16" i="1" s="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D7" i="73"/>
  <c r="D3" i="73"/>
  <c r="D4" i="73"/>
  <c r="D5" i="73"/>
  <c r="C16" i="15"/>
  <c r="G26" i="43" l="1"/>
  <c r="J26" i="43"/>
  <c r="N370" i="46"/>
  <c r="C30" i="68"/>
  <c r="C48" i="68"/>
  <c r="C48" i="69"/>
  <c r="C30" i="69"/>
  <c r="H16" i="1"/>
  <c r="F26" i="43"/>
  <c r="D26" i="43" s="1"/>
  <c r="C25" i="43" s="1"/>
  <c r="E26" i="43"/>
  <c r="E59" i="40"/>
  <c r="P6" i="1"/>
  <c r="C13" i="12" s="1"/>
  <c r="Q16" i="1"/>
  <c r="F27" i="69" s="1"/>
  <c r="F45" i="69" s="1"/>
  <c r="D75" i="71"/>
  <c r="C74" i="71"/>
  <c r="D74" i="71" s="1"/>
  <c r="AZ108" i="3"/>
  <c r="AZ53" i="3"/>
  <c r="O65" i="71"/>
  <c r="D66" i="71"/>
  <c r="O66" i="71"/>
  <c r="D38" i="71"/>
  <c r="C39" i="71"/>
  <c r="AZ63" i="3"/>
  <c r="AZ182" i="3"/>
  <c r="D44" i="71"/>
  <c r="T44" i="71"/>
  <c r="AZ244" i="3"/>
  <c r="AZ239" i="3"/>
  <c r="AZ249" i="3"/>
  <c r="AZ133" i="3"/>
  <c r="AZ401" i="3"/>
  <c r="AZ471" i="3"/>
  <c r="AB23" i="36"/>
  <c r="U23" i="36"/>
  <c r="AZ550" i="3"/>
  <c r="U23" i="35"/>
  <c r="AB23" i="35"/>
  <c r="C82" i="71"/>
  <c r="D82" i="71" s="1"/>
  <c r="D83" i="71"/>
  <c r="C70" i="71"/>
  <c r="D70" i="71" s="1"/>
  <c r="D71" i="71"/>
  <c r="C52" i="71"/>
  <c r="D51" i="71"/>
  <c r="D31" i="71"/>
  <c r="C32" i="71"/>
  <c r="AZ223" i="3"/>
  <c r="U39" i="40"/>
  <c r="AB39" i="40"/>
  <c r="AC9" i="36"/>
  <c r="W9" i="36"/>
  <c r="AC23" i="35"/>
  <c r="W23" i="35"/>
  <c r="AZ71" i="3"/>
  <c r="AZ282" i="3"/>
  <c r="AZ241" i="3"/>
  <c r="AZ251" i="3"/>
  <c r="AZ218" i="3"/>
  <c r="AZ126" i="3"/>
  <c r="AZ263" i="3"/>
  <c r="AZ404" i="3"/>
  <c r="AZ454" i="3"/>
  <c r="AZ428" i="3"/>
  <c r="AB38" i="40"/>
  <c r="U38" i="40"/>
  <c r="AZ368" i="3"/>
  <c r="AC39" i="40"/>
  <c r="W39" i="40"/>
  <c r="AC9" i="33"/>
  <c r="W9" i="33"/>
  <c r="G5" i="3"/>
  <c r="B3" i="3" s="1"/>
  <c r="E212" i="3" s="1"/>
  <c r="AZ84" i="3"/>
  <c r="AZ66" i="3"/>
  <c r="AZ57" i="3"/>
  <c r="C78" i="71"/>
  <c r="D78" i="71" s="1"/>
  <c r="D79" i="71"/>
  <c r="C36" i="71"/>
  <c r="D35" i="71"/>
  <c r="T28" i="71"/>
  <c r="D28" i="71"/>
  <c r="U28" i="71" s="1"/>
  <c r="C27" i="71"/>
  <c r="AZ20" i="3"/>
  <c r="AZ297" i="3"/>
  <c r="AZ229" i="3"/>
  <c r="AZ271" i="3"/>
  <c r="AZ403" i="3"/>
  <c r="AZ435" i="3"/>
  <c r="AZ453" i="3"/>
  <c r="AB24" i="36"/>
  <c r="U24" i="36"/>
  <c r="AZ491" i="3"/>
  <c r="AC23" i="36"/>
  <c r="W23" i="36"/>
  <c r="G16" i="1"/>
  <c r="F10" i="39" s="1"/>
  <c r="S10" i="39" s="1"/>
  <c r="J7" i="37"/>
  <c r="K1" i="73"/>
  <c r="E575" i="3"/>
  <c r="E442" i="3"/>
  <c r="E449" i="3"/>
  <c r="E517" i="3"/>
  <c r="E417" i="3"/>
  <c r="E479" i="3"/>
  <c r="E152" i="3"/>
  <c r="E241" i="3"/>
  <c r="E292" i="3"/>
  <c r="E544" i="3"/>
  <c r="E409" i="3"/>
  <c r="E484" i="3"/>
  <c r="E46" i="3"/>
  <c r="E267" i="3"/>
  <c r="E249" i="3"/>
  <c r="E492" i="3"/>
  <c r="E67" i="3"/>
  <c r="E33" i="3"/>
  <c r="E355" i="3"/>
  <c r="E63" i="3"/>
  <c r="E81" i="3"/>
  <c r="E309" i="3"/>
  <c r="E513" i="3"/>
  <c r="E198" i="3"/>
  <c r="E281" i="3"/>
  <c r="AL6" i="3"/>
  <c r="E42" i="3"/>
  <c r="E18" i="3"/>
  <c r="E96" i="3"/>
  <c r="E235" i="3"/>
  <c r="E383" i="3"/>
  <c r="E34" i="3"/>
  <c r="E206" i="3"/>
  <c r="E102" i="3"/>
  <c r="E113" i="3"/>
  <c r="E22" i="3"/>
  <c r="E205" i="3"/>
  <c r="E173" i="3"/>
  <c r="E525" i="3"/>
  <c r="E405" i="3"/>
  <c r="E456" i="3"/>
  <c r="E408" i="3"/>
  <c r="E451" i="3"/>
  <c r="E497" i="3"/>
  <c r="E13" i="3"/>
  <c r="E420" i="3"/>
  <c r="E26"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G1" i="73"/>
  <c r="AE6" i="1"/>
  <c r="C29" i="69" l="1"/>
  <c r="D27" i="69" s="1"/>
  <c r="C47" i="69"/>
  <c r="D45" i="69" s="1"/>
  <c r="AA10" i="39"/>
  <c r="F10" i="40"/>
  <c r="S10" i="40" s="1"/>
  <c r="E233" i="3"/>
  <c r="E310" i="3"/>
  <c r="E64" i="3"/>
  <c r="E389" i="3"/>
  <c r="E95" i="3"/>
  <c r="E554" i="3"/>
  <c r="E536" i="3"/>
  <c r="H10" i="39"/>
  <c r="U10" i="39" s="1"/>
  <c r="F28" i="12"/>
  <c r="C29" i="12" s="1"/>
  <c r="D28" i="12" s="1"/>
  <c r="H10" i="40"/>
  <c r="AB10" i="40" s="1"/>
  <c r="J10" i="40"/>
  <c r="AC10" i="40" s="1"/>
  <c r="F27" i="11"/>
  <c r="C29" i="11" s="1"/>
  <c r="D27" i="11" s="1"/>
  <c r="F27" i="68"/>
  <c r="F45" i="68" s="1"/>
  <c r="J10" i="39"/>
  <c r="W10" i="39" s="1"/>
  <c r="E3" i="6"/>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E539" i="3"/>
  <c r="T32" i="71"/>
  <c r="D32" i="71"/>
  <c r="R36" i="36"/>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D36" i="71"/>
  <c r="T36" i="71"/>
  <c r="E255" i="3"/>
  <c r="E466" i="3"/>
  <c r="E499" i="3"/>
  <c r="T52" i="71"/>
  <c r="D52" i="71"/>
  <c r="C40" i="71"/>
  <c r="D39"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F41" i="67"/>
  <c r="M27" i="67"/>
  <c r="F69" i="67" l="1"/>
  <c r="I53" i="34"/>
  <c r="J53" i="34" s="1"/>
  <c r="F25" i="12"/>
  <c r="C26" i="12" s="1"/>
  <c r="D25" i="12" s="1"/>
  <c r="AA10" i="40"/>
  <c r="AB10" i="39"/>
  <c r="C47" i="11"/>
  <c r="D45" i="11" s="1"/>
  <c r="C47" i="68"/>
  <c r="D45" i="68" s="1"/>
  <c r="C29" i="68"/>
  <c r="D27" i="68" s="1"/>
  <c r="D116" i="43"/>
  <c r="T40" i="71"/>
  <c r="D40" i="71"/>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I54" i="34" l="1"/>
  <c r="J54" i="34" s="1"/>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U37" i="34" l="1"/>
  <c r="AB37" i="34"/>
  <c r="T49" i="34"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9" i="34" l="1"/>
  <c r="G54" i="34" s="1"/>
  <c r="H54" i="34" s="1"/>
  <c r="R50" i="34"/>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54" i="34" l="1"/>
  <c r="F54" i="34" s="1"/>
  <c r="G53" i="34"/>
  <c r="H53" i="34" s="1"/>
  <c r="C49" i="34"/>
  <c r="C50" i="34"/>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U18" i="1" l="1"/>
  <c r="R24" i="3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19" i="9"/>
  <c r="D2" i="34"/>
  <c r="S24" i="31" l="1"/>
  <c r="R27" i="31"/>
  <c r="S27" i="31" s="1"/>
  <c r="R28" i="31"/>
  <c r="S28" i="31" s="1"/>
  <c r="R25" i="31"/>
  <c r="S25" i="31" s="1"/>
  <c r="R26" i="31"/>
  <c r="S26" i="31" s="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D35" i="9"/>
  <c r="AO6" i="1"/>
  <c r="AO8" i="1"/>
  <c r="D20" i="9"/>
  <c r="D34" i="9"/>
  <c r="AO10" i="1"/>
  <c r="AO11" i="1"/>
  <c r="AO9" i="1"/>
  <c r="AO12" i="1"/>
  <c r="S22" i="31" l="1"/>
  <c r="C102" i="9"/>
  <c r="C21" i="9"/>
  <c r="D22"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R22" i="31" l="1"/>
  <c r="B20" i="31"/>
  <c r="B21" i="31" s="1"/>
  <c r="G21" i="9"/>
  <c r="F14" i="74" s="1"/>
  <c r="D14" i="74"/>
  <c r="G14" i="74" s="1"/>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l="1"/>
  <c r="D5" i="74" s="1"/>
  <c r="B6" i="74" l="1"/>
  <c r="D6" i="74" s="1"/>
  <c r="G118" i="9"/>
  <c r="F118" i="9" s="1"/>
  <c r="I118" i="9"/>
  <c r="C105" i="9" s="1"/>
  <c r="H118" i="9" l="1"/>
  <c r="H119" i="9" s="1"/>
  <c r="H5" i="52" s="1"/>
  <c r="F119" i="9"/>
  <c r="F5" i="52" s="1"/>
  <c r="B53" i="72" s="1"/>
  <c r="F4" i="52"/>
  <c r="B51" i="72" s="1"/>
  <c r="E118" i="9"/>
  <c r="G4" i="52"/>
  <c r="B52" i="72" s="1"/>
  <c r="H102" i="9"/>
  <c r="I4" i="52"/>
  <c r="H4" i="52" l="1"/>
  <c r="H101" i="9"/>
  <c r="H107" i="9" s="1"/>
  <c r="C104" i="9"/>
  <c r="D118" i="9"/>
  <c r="E4" i="52"/>
  <c r="B48" i="72" s="1"/>
  <c r="C5" i="74"/>
  <c r="D7" i="53"/>
  <c r="B21" i="72" s="1"/>
  <c r="D45" i="9" l="1"/>
  <c r="M48" i="9"/>
  <c r="D5" i="53"/>
  <c r="D6" i="53" s="1"/>
  <c r="B22" i="72" s="1"/>
  <c r="H108" i="9"/>
  <c r="D13" i="53"/>
  <c r="D122" i="9"/>
  <c r="M49" i="9"/>
  <c r="D4" i="52"/>
  <c r="B47" i="72" s="1"/>
  <c r="D119" i="9"/>
  <c r="D5" i="52" s="1"/>
  <c r="B49" i="72" s="1"/>
  <c r="P54" i="9" l="1"/>
  <c r="C78" i="9"/>
  <c r="C73" i="9" s="1"/>
  <c r="D53" i="9"/>
  <c r="C72" i="9"/>
  <c r="D55" i="9"/>
  <c r="M53" i="9" s="1"/>
  <c r="P53" i="9" s="1"/>
  <c r="D52" i="9"/>
  <c r="C85" i="9"/>
  <c r="C64" i="9"/>
  <c r="C63" i="9" s="1"/>
  <c r="C67" i="9" s="1"/>
  <c r="C68" i="9" s="1"/>
  <c r="D54" i="9" s="1"/>
  <c r="D48" i="9" s="1"/>
  <c r="M52" i="9" s="1"/>
  <c r="P52" i="9" s="1"/>
  <c r="C93" i="9"/>
  <c r="C86" i="9" s="1"/>
  <c r="B20" i="72"/>
  <c r="L68" i="9"/>
  <c r="M68" i="9" s="1"/>
  <c r="L66" i="9"/>
  <c r="M66" i="9" s="1"/>
  <c r="L64" i="9"/>
  <c r="M64" i="9" s="1"/>
  <c r="L63" i="9"/>
  <c r="M63" i="9" s="1"/>
  <c r="L65" i="9"/>
  <c r="M65" i="9" s="1"/>
  <c r="L67" i="9"/>
  <c r="M67" i="9" s="1"/>
  <c r="D8" i="52"/>
  <c r="D123" i="9"/>
  <c r="D9" i="52" s="1"/>
  <c r="D14" i="53"/>
  <c r="B32" i="72" s="1"/>
  <c r="B30" i="72"/>
  <c r="C6" i="74"/>
  <c r="D15" i="53"/>
  <c r="B31" i="72" s="1"/>
  <c r="P57" i="9" l="1"/>
  <c r="P59" i="9" s="1"/>
  <c r="C79" i="9"/>
  <c r="C80" i="9" s="1"/>
  <c r="E80" i="9" s="1"/>
  <c r="E81" i="9" s="1"/>
  <c r="D59" i="9"/>
  <c r="M55" i="9" s="1"/>
  <c r="C95" i="9"/>
  <c r="C96" i="9" s="1"/>
  <c r="E96" i="9" s="1"/>
  <c r="E97" i="9" s="1"/>
  <c r="M69" i="9"/>
  <c r="N69" i="9" s="1"/>
  <c r="I14" i="74" l="1"/>
  <c r="P61" i="9"/>
  <c r="C97" i="9"/>
  <c r="C81" i="9"/>
  <c r="D58" i="9" l="1"/>
  <c r="D56" i="9" s="1"/>
  <c r="M54" i="9" s="1"/>
  <c r="N57" i="9" s="1"/>
  <c r="N58" i="9" s="1"/>
  <c r="N59" i="9" l="1"/>
  <c r="N61" i="9" l="1"/>
  <c r="B8" i="74"/>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<sst xmlns="http://schemas.openxmlformats.org/spreadsheetml/2006/main" count="8338" uniqueCount="3513">
  <si>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</si>
  <si>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</si>
  <si>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</si>
  <si>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</si>
  <si>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</si>
  <si>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</si>
  <si>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</si>
  <si>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</si>
  <si>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</si>
  <si>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</si>
  <si>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</si>
  <si>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</si>
  <si>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</si>
  <si>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</si>
  <si>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</si>
  <si>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</si>
  <si>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</si>
  <si>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</si>
  <si>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</si>
  <si>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</si>
  <si>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</si>
  <si>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</si>
  <si>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</si>
  <si>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</si>
  <si>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</si>
  <si>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</si>
  <si>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</si>
  <si>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</si>
  <si>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</si>
  <si>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</si>
  <si>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</si>
  <si>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</si>
  <si>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</si>
  <si>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</si>
  <si>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</si>
  <si>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</si>
  <si>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</si>
  <si>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</si>
  <si>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</si>
  <si>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</si>
  <si>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</si>
  <si>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</si>
  <si>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</si>
  <si>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</si>
  <si>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</si>
  <si>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</si>
  <si>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</si>
  <si>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</si>
  <si>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</si>
  <si>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</si>
  <si>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</si>
  <si>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</si>
  <si>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</si>
  <si>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</si>
  <si>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</si>
  <si>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</si>
  <si>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</si>
  <si>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</si>
  <si>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</si>
  <si>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</si>
  <si>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</si>
  <si>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</si>
  <si>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</si>
  <si>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</si>
  <si>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</si>
  <si>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</si>
  <si>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</si>
  <si>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</si>
  <si>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</si>
  <si>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</si>
  <si>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</si>
  <si>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</si>
  <si>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</si>
  <si>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</si>
  <si>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</si>
  <si>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</si>
  <si>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</si>
  <si>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</si>
  <si>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</si>
  <si>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</si>
  <si>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</si>
  <si>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</si>
  <si>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</si>
  <si>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</si>
  <si>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</si>
  <si>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</si>
  <si>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</si>
  <si>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</si>
  <si>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</si>
  <si>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</si>
  <si>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</si>
  <si>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</si>
  <si>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</si>
  <si>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</si>
  <si>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</si>
  <si>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</si>
  <si>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</si>
  <si>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</si>
  <si>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</si>
  <si>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</si>
  <si>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</si>
  <si>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</si>
  <si>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</si>
  <si>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</si>
  <si>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</si>
  <si>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</si>
  <si>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</si>
  <si>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</si>
  <si>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</si>
  <si>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</si>
  <si>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</si>
  <si>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</si>
  <si>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</si>
  <si>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</si>
  <si>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</si>
  <si>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</si>
  <si>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</si>
  <si>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</si>
  <si>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</si>
  <si>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</si>
  <si>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</si>
  <si>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</si>
  <si>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</si>
  <si>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</si>
  <si>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</si>
  <si>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</si>
  <si>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</si>
  <si>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</si>
  <si>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</si>
  <si>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</si>
  <si>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</si>
  <si>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</si>
  <si>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</si>
  <si>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</si>
  <si>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</si>
  <si>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</si>
  <si>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</si>
  <si>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</si>
  <si>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</si>
  <si>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</si>
  <si>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</si>
  <si>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</si>
  <si>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</si>
  <si>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</si>
  <si>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</si>
  <si>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</si>
  <si>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</si>
  <si>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</si>
  <si>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</si>
  <si>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</si>
  <si>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</si>
  <si>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</si>
  <si>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</si>
  <si>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</si>
  <si>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</si>
  <si>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</si>
  <si>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</si>
  <si>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</si>
  <si>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</si>
  <si>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</si>
  <si>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</si>
  <si>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</si>
  <si>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</si>
  <si>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</si>
  <si>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</si>
  <si>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</si>
  <si>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</si>
  <si>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</si>
  <si>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</si>
  <si>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</si>
  <si>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</si>
  <si>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</si>
  <si>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</si>
  <si>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</si>
  <si>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</si>
  <si>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</si>
  <si>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</si>
  <si>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</si>
  <si>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</si>
  <si>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</si>
  <si>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</si>
  <si>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</si>
  <si>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</si>
  <si>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</si>
  <si>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</si>
  <si>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</si>
  <si>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</si>
  <si>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</si>
  <si>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</si>
  <si>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</si>
  <si>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</si>
  <si>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</si>
  <si>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</si>
  <si>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</si>
  <si>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</si>
  <si>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</si>
  <si>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</si>
  <si>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</si>
  <si>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</si>
  <si>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</si>
  <si>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</si>
  <si>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</si>
  <si>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</si>
  <si>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</si>
  <si>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</si>
  <si>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</si>
  <si>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</si>
  <si>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</si>
  <si>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</si>
  <si>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</si>
  <si>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</si>
  <si>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</si>
  <si>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</si>
  <si>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</si>
  <si>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</si>
  <si>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</si>
  <si>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</si>
  <si>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</si>
  <si>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</si>
  <si>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</si>
  <si>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</si>
  <si>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</si>
  <si>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</si>
  <si>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</si>
  <si>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</si>
  <si>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</si>
  <si>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</si>
  <si>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</si>
  <si>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</si>
  <si>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</si>
  <si>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</si>
  <si>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</si>
  <si>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</si>
  <si>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</si>
  <si>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</si>
  <si>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</si>
  <si>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</si>
  <si>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</si>
  <si>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</si>
  <si>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</si>
  <si>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</si>
  <si>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</si>
  <si>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</si>
  <si>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</si>
  <si>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</si>
  <si>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</si>
  <si>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</si>
  <si>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</si>
  <si>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</si>
  <si>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</si>
  <si>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</si>
  <si>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</si>
  <si>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</si>
  <si>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</si>
  <si>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</si>
  <si>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</si>
  <si>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</si>
  <si>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</si>
  <si>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</si>
  <si>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</si>
  <si>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</si>
  <si>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</si>
  <si>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</si>
  <si>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</si>
  <si>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</si>
  <si>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</si>
  <si>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</si>
  <si>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</si>
  <si>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</si>
  <si>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</si>
  <si>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</si>
  <si>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</si>
  <si>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</si>
  <si>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</si>
  <si>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</si>
  <si>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</si>
  <si>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</si>
  <si>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</si>
  <si>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</si>
  <si>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</si>
  <si>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</si>
  <si>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</si>
  <si>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</si>
  <si>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</si>
  <si>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</si>
  <si>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</si>
  <si>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</si>
  <si>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</si>
  <si>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</si>
  <si>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</si>
  <si>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</si>
  <si>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</si>
  <si>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</si>
  <si>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</si>
  <si>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</si>
  <si>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</si>
  <si>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</si>
  <si>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</si>
  <si>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</si>
  <si>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</si>
  <si>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</si>
  <si>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</si>
  <si>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</si>
  <si>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</si>
  <si>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</si>
  <si>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</si>
  <si>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</si>
  <si>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</si>
  <si>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</si>
  <si>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</si>
  <si>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</si>
  <si>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</si>
  <si>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</si>
  <si>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</si>
  <si>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</si>
  <si>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</si>
  <si>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</si>
  <si>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</si>
  <si>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</si>
  <si>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</si>
  <si>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</si>
  <si>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</si>
  <si>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</si>
  <si>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</si>
  <si>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</si>
  <si>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</si>
  <si>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</si>
  <si>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</si>
  <si>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</si>
  <si>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</si>
  <si>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</si>
  <si>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</si>
  <si>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</si>
  <si>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</si>
  <si>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</si>
  <si>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</si>
  <si>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</si>
  <si>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</si>
  <si>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</si>
  <si>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</si>
  <si>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</si>
  <si>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</si>
  <si>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</si>
  <si>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</si>
  <si>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</si>
  <si>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</si>
  <si>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</si>
  <si>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</si>
  <si>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</si>
  <si>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</si>
  <si>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</si>
  <si>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</si>
  <si>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</si>
  <si>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</si>
  <si>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</si>
  <si>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</si>
  <si>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</si>
  <si>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</si>
  <si>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</si>
  <si>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</si>
  <si>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</si>
  <si>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</si>
  <si>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</si>
  <si>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</si>
  <si>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</si>
  <si>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</si>
  <si>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</si>
  <si>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</si>
  <si>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</si>
  <si>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</si>
  <si>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</si>
  <si>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</si>
  <si>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</si>
  <si>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</si>
  <si>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</si>
  <si>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</si>
  <si>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</si>
  <si>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</si>
  <si>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</si>
  <si>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</si>
  <si>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</si>
  <si>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</si>
  <si>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</si>
  <si>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</si>
  <si>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</si>
  <si>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</si>
  <si>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</si>
  <si>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</si>
  <si>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</si>
  <si>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</si>
  <si>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</si>
  <si>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</si>
  <si>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</si>
  <si>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</si>
  <si>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</si>
  <si>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</si>
  <si>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</si>
  <si>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</si>
  <si>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</si>
  <si>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</si>
  <si>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</si>
  <si>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</si>
  <si>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</si>
  <si>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</si>
  <si>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</si>
  <si>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</si>
  <si>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</si>
  <si>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</si>
  <si>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</si>
  <si>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</si>
  <si>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</si>
  <si>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</si>
  <si>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</si>
  <si>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</si>
  <si>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</si>
  <si>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</si>
  <si>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</si>
  <si>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</si>
  <si>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</si>
  <si>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</si>
  <si>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</si>
  <si>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</si>
  <si>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</si>
  <si>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</si>
  <si>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</si>
  <si>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</si>
  <si>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</si>
  <si>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</si>
  <si>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</si>
  <si>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</si>
  <si>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</si>
  <si>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</si>
  <si>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</si>
  <si>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</si>
  <si>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</si>
  <si>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</si>
  <si>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</si>
  <si>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</si>
  <si>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</si>
  <si>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</si>
  <si>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</si>
  <si>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</si>
  <si>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</si>
  <si>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</si>
  <si>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</si>
  <si>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</si>
  <si>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</si>
  <si>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</si>
  <si>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</si>
  <si>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</si>
  <si>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</si>
  <si>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</si>
  <si>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</si>
  <si>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</si>
  <si>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</si>
  <si>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</si>
  <si>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</si>
  <si>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</si>
  <si>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</si>
  <si>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</si>
  <si>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</si>
  <si>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</si>
  <si>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</si>
  <si>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</si>
  <si>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</si>
  <si>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</si>
  <si>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</si>
  <si>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</si>
  <si>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</si>
  <si>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</si>
  <si>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</si>
  <si>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</si>
  <si>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</si>
  <si>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</si>
  <si>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</si>
  <si>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</si>
  <si>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</si>
  <si>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</si>
  <si>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</si>
  <si>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</si>
  <si>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</si>
  <si>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</si>
  <si>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</si>
  <si>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</si>
  <si>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</si>
  <si>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</si>
  <si>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</si>
  <si>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</si>
  <si>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</si>
  <si>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</si>
  <si>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</si>
  <si>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</si>
  <si>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</si>
  <si>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</si>
  <si>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</si>
  <si>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</si>
  <si>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</si>
  <si>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</si>
  <si>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</si>
  <si>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</si>
  <si>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</si>
  <si>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</si>
  <si>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</si>
  <si>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</si>
  <si>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</si>
  <si>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</si>
  <si>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</si>
  <si>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</si>
  <si>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</si>
  <si>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</si>
  <si>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</si>
  <si>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</si>
  <si>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</si>
  <si>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</si>
  <si>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</si>
  <si>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</si>
  <si>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</si>
  <si>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</si>
  <si>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</si>
  <si>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</si>
  <si>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</si>
  <si>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</si>
  <si>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</si>
  <si>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</si>
  <si>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</si>
  <si>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</si>
  <si>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</si>
  <si>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</si>
  <si>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</si>
  <si>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</si>
  <si>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</si>
  <si>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</si>
  <si>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</si>
  <si>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</si>
  <si>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</si>
  <si>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</si>
  <si>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</si>
  <si>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</si>
  <si>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</si>
  <si>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</si>
  <si>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</si>
  <si>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</si>
  <si>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</si>
  <si>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</si>
  <si>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</si>
  <si>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</si>
  <si>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</si>
  <si>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</si>
  <si>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</si>
  <si>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</si>
  <si>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</si>
  <si>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</si>
  <si>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</si>
  <si>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</si>
  <si>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</si>
  <si>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</si>
  <si>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</si>
  <si>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</si>
  <si>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</si>
  <si>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</si>
  <si>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</si>
  <si>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</si>
  <si>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</si>
  <si>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</si>
  <si>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</si>
  <si>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</si>
  <si>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</si>
  <si>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</si>
  <si>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</si>
  <si>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</si>
  <si>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</si>
  <si>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</si>
  <si>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</si>
  <si>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</si>
  <si>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</si>
  <si>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</si>
  <si>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</si>
  <si>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</si>
  <si>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</si>
  <si>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</si>
  <si>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</si>
  <si>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</si>
  <si>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</si>
  <si>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</si>
  <si>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</si>
  <si>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</si>
  <si>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</si>
  <si>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</si>
  <si>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</si>
  <si>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</si>
  <si>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</si>
  <si>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</si>
  <si>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</si>
  <si>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</si>
  <si>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</si>
  <si>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</si>
  <si>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</si>
  <si>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</si>
  <si>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</si>
  <si>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</si>
  <si>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</si>
  <si>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</si>
  <si>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</si>
  <si>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</si>
  <si>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</si>
  <si>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</si>
  <si>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</si>
  <si>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</si>
  <si>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</si>
  <si>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</si>
  <si>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</si>
  <si>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</si>
  <si>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</si>
  <si>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</si>
  <si>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</si>
  <si>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</si>
  <si>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</si>
  <si>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</si>
  <si>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</si>
  <si>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</si>
  <si>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</si>
  <si>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</si>
  <si>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</si>
  <si>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</si>
  <si>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</si>
  <si>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</si>
  <si>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</si>
  <si>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</si>
  <si>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</si>
  <si>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</si>
  <si>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</si>
  <si>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</si>
  <si>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</si>
  <si>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</si>
  <si>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</si>
  <si>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</si>
  <si>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</si>
  <si>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</si>
  <si>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</si>
  <si>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</si>
  <si>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</si>
  <si>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</si>
  <si>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</si>
  <si>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</si>
  <si>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</si>
  <si>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</si>
  <si>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</si>
  <si>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</si>
  <si>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</si>
  <si>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</si>
  <si>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</si>
  <si>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</si>
  <si>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</si>
  <si>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</si>
  <si>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</si>
  <si>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</si>
  <si>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</si>
  <si>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</si>
  <si>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</si>
  <si>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</si>
  <si>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</si>
  <si>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</si>
  <si>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</si>
  <si>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</si>
  <si>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</si>
  <si>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</si>
  <si>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</si>
  <si>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</si>
  <si>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</si>
  <si>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</si>
  <si>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</si>
  <si>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</si>
  <si>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</si>
  <si>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</si>
  <si>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</si>
  <si>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</si>
  <si>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</si>
  <si>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</si>
  <si>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</si>
  <si>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</si>
  <si>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</si>
  <si>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</si>
  <si>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</si>
  <si>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</si>
  <si>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</si>
  <si>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</si>
  <si>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</si>
  <si>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</si>
  <si>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</si>
  <si>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</si>
  <si>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</si>
  <si>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</si>
  <si>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</si>
  <si>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</si>
  <si>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</si>
  <si>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</si>
  <si>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</si>
  <si>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</si>
  <si>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</si>
  <si>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</si>
  <si>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</si>
  <si>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</si>
  <si>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</si>
  <si>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</si>
  <si>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</si>
  <si>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</si>
  <si>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</si>
  <si>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</si>
  <si>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</si>
  <si>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</si>
  <si>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</si>
  <si>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</si>
  <si>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</si>
  <si>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</si>
  <si>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</si>
  <si>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</si>
  <si>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</si>
  <si>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</si>
  <si>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</si>
  <si>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</si>
  <si>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</si>
  <si>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</si>
  <si>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</si>
  <si>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</si>
  <si>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</si>
  <si>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</si>
  <si>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</si>
  <si>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</si>
  <si>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</si>
  <si>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</si>
  <si>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</si>
  <si>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</si>
  <si>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</si>
  <si>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</si>
  <si>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</si>
  <si>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</si>
  <si>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</si>
  <si>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</si>
  <si>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</si>
  <si>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</si>
  <si>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</si>
  <si>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</si>
  <si>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</si>
  <si>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</si>
  <si>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</si>
  <si>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</si>
  <si>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</si>
  <si>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</si>
  <si>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</si>
  <si>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</si>
  <si>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</si>
  <si>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</si>
  <si>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</si>
  <si>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</si>
  <si>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</si>
  <si>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</si>
  <si>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</si>
  <si>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</si>
  <si>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</si>
  <si>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</si>
  <si>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</si>
  <si>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</si>
  <si>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</si>
  <si>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</si>
  <si>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</si>
  <si>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</si>
  <si>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</si>
  <si>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</si>
  <si>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</si>
  <si>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</si>
  <si>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</si>
  <si>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</si>
  <si>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</si>
  <si>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</si>
  <si>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</si>
  <si>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</si>
  <si>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</si>
  <si>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</si>
  <si>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</si>
  <si>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</si>
  <si>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</si>
  <si>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</si>
  <si>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</si>
  <si>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</si>
  <si>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</si>
  <si>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</si>
  <si>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</si>
  <si>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</si>
  <si>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</si>
  <si>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</si>
  <si>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</si>
  <si>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</si>
  <si>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</si>
  <si>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</si>
  <si>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</si>
  <si>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</si>
  <si>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</si>
  <si>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</si>
  <si>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</si>
  <si>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</si>
  <si>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</si>
  <si>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</si>
  <si>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</si>
  <si>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</si>
  <si>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</si>
  <si>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</si>
  <si>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</si>
  <si>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</si>
  <si>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</si>
  <si>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</si>
  <si>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</si>
  <si>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</si>
  <si>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</si>
  <si>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</si>
  <si>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</si>
  <si>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</si>
  <si>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</si>
  <si>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</si>
  <si>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</si>
  <si>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</si>
  <si>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</si>
  <si>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</si>
  <si>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</si>
  <si>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</si>
  <si>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</si>
  <si>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</si>
  <si>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</si>
  <si>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</si>
  <si>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</si>
  <si>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</si>
  <si>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</si>
  <si>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</si>
  <si>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</si>
  <si>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</si>
  <si>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</si>
  <si>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</si>
  <si>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</si>
  <si>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</si>
  <si>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</si>
  <si>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</si>
  <si>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</si>
  <si>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</si>
  <si>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</si>
  <si>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</si>
  <si>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</si>
  <si>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</si>
  <si>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</si>
  <si>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</si>
  <si>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</si>
  <si>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</si>
  <si>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</si>
  <si>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</si>
  <si>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</si>
  <si>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</si>
  <si>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</si>
  <si>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</si>
  <si>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</si>
  <si>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</si>
  <si>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</si>
  <si>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</si>
  <si>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</si>
  <si>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</si>
  <si>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</si>
  <si>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</si>
  <si>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</si>
  <si>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</si>
  <si>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</si>
  <si>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</si>
  <si>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</si>
  <si>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</si>
  <si>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</si>
  <si>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</si>
  <si>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</si>
  <si>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</si>
  <si>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</si>
  <si>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</si>
  <si>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</si>
  <si>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</si>
  <si>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</si>
  <si>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</si>
  <si>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</si>
  <si>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</si>
  <si>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</si>
  <si>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</si>
  <si>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</si>
  <si>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</si>
  <si>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</si>
  <si>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</si>
  <si>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</si>
  <si>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</si>
  <si>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</si>
  <si>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</si>
  <si>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</si>
  <si>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</si>
  <si>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</si>
  <si>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</si>
  <si>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</si>
  <si>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</si>
  <si>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</si>
  <si>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</si>
  <si>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</si>
  <si>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</si>
  <si>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</si>
  <si>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</si>
  <si>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</si>
  <si>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</si>
  <si>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</si>
  <si>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</si>
  <si>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</si>
  <si>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</si>
  <si>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</si>
  <si>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</si>
  <si>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</si>
  <si>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</si>
  <si>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</si>
  <si>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</si>
  <si>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</si>
  <si>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</si>
  <si>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</si>
  <si>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</si>
  <si>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</si>
  <si>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</si>
  <si>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</si>
  <si>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</si>
  <si>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</si>
  <si>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</si>
  <si>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</si>
  <si>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</si>
  <si>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</si>
  <si>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</si>
  <si>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</si>
  <si>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</si>
  <si>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</si>
  <si>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</si>
  <si>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</si>
  <si>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</si>
  <si>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</si>
  <si>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</si>
  <si>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</si>
  <si>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</si>
  <si>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</si>
  <si>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</si>
  <si>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</si>
  <si>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</si>
  <si>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</si>
  <si>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</si>
  <si>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</si>
  <si>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</si>
  <si>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</si>
  <si>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</si>
  <si>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</si>
  <si>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</si>
  <si>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</si>
  <si>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</si>
  <si>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</si>
  <si>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</si>
  <si>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</si>
  <si>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</si>
  <si>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</si>
  <si>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</si>
  <si>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</si>
  <si>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</si>
  <si>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</si>
  <si>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</si>
  <si>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</si>
  <si>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</si>
  <si>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</si>
  <si>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</si>
  <si>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</si>
  <si>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</si>
  <si>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</si>
  <si>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</si>
  <si>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</si>
  <si>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</si>
  <si>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</si>
  <si>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</si>
  <si>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</si>
  <si>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</si>
  <si>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</si>
  <si>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</si>
  <si>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</si>
  <si>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</si>
  <si>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</si>
  <si>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</si>
  <si>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</si>
  <si>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</si>
  <si>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</si>
  <si>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</si>
  <si>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</si>
  <si>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</si>
  <si>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</si>
  <si>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</si>
  <si>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</si>
  <si>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</si>
  <si>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</si>
  <si>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</si>
  <si>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</si>
  <si>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</si>
  <si>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</si>
  <si>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</si>
  <si>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</si>
  <si>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</si>
  <si>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</si>
  <si>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</si>
  <si>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</si>
  <si>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</si>
  <si>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</si>
  <si>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</si>
  <si>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</si>
  <si>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</si>
  <si>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</si>
  <si>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</si>
  <si>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</si>
  <si>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</si>
  <si>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</si>
  <si>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</si>
  <si>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</si>
  <si>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</si>
  <si>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</si>
  <si>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</si>
  <si>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</si>
  <si>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</si>
  <si>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</si>
  <si>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</si>
  <si>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</si>
  <si>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</si>
  <si>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</si>
  <si>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</si>
  <si>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</si>
  <si>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</si>
  <si>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</si>
  <si>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</si>
  <si>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</si>
  <si>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</si>
  <si>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</si>
  <si>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</si>
  <si>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</si>
  <si>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</si>
  <si>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</si>
  <si>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</si>
  <si>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</si>
  <si>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</si>
  <si>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</si>
  <si>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</si>
  <si>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</si>
  <si>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</si>
  <si>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</si>
  <si>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</si>
  <si>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</si>
  <si>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</si>
  <si>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</si>
  <si>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</si>
  <si>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</si>
  <si>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</si>
  <si>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</si>
  <si>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</si>
  <si>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</si>
  <si>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</si>
  <si>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</si>
  <si>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</si>
  <si>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</si>
  <si>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</si>
  <si>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</si>
  <si>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</si>
  <si>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</si>
  <si>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</si>
  <si>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</si>
  <si>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</si>
  <si>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</si>
  <si>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</si>
  <si>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</si>
  <si>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</si>
  <si>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</si>
  <si>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</si>
  <si>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</si>
  <si>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</si>
  <si>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</si>
  <si>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</si>
  <si>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</si>
  <si>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</si>
  <si>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</si>
  <si>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</si>
  <si>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</si>
  <si>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</si>
  <si>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</si>
  <si>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</si>
  <si>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</si>
  <si>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</si>
  <si>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</si>
  <si>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</si>
  <si>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</si>
  <si>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</si>
  <si>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</si>
  <si>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</si>
  <si>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</si>
  <si>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</si>
  <si>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</si>
  <si>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</si>
  <si>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</si>
  <si>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</si>
  <si>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</si>
  <si>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</si>
  <si>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</si>
  <si>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</si>
  <si>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</si>
  <si>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</si>
  <si>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</si>
  <si>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</si>
  <si>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</si>
  <si>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</si>
  <si>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</si>
  <si>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</si>
  <si>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</si>
  <si>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</si>
  <si>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</si>
  <si>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</si>
  <si>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</si>
  <si>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</si>
  <si>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</si>
  <si>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</si>
  <si>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</si>
  <si>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</si>
  <si>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</si>
  <si>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</si>
  <si>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</si>
  <si>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</si>
  <si>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</si>
  <si>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</si>
  <si>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</si>
  <si>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</si>
  <si>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</si>
  <si>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</si>
  <si>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</si>
  <si>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</si>
  <si>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</si>
  <si>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</si>
  <si>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</si>
  <si>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</si>
  <si>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</si>
  <si>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</si>
  <si>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</si>
  <si>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</si>
  <si>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</si>
  <si>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</si>
  <si>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</si>
  <si>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</si>
  <si>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</si>
  <si>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</si>
  <si>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</si>
  <si>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</si>
  <si>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</si>
  <si>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</si>
  <si>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</si>
  <si>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</si>
  <si>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</si>
  <si>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</si>
  <si>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</si>
  <si>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</si>
  <si>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</si>
  <si>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</si>
  <si>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</si>
  <si>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</si>
  <si>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</si>
  <si>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</si>
  <si>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</si>
  <si>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</si>
  <si>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</si>
  <si>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</si>
  <si>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</si>
  <si>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</si>
  <si>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</si>
  <si>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</si>
  <si>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</si>
  <si>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</si>
  <si>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</si>
  <si>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</si>
  <si>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</si>
  <si>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</si>
  <si>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</si>
  <si>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</si>
  <si>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</si>
  <si>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</si>
  <si>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</si>
  <si>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</si>
  <si>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</si>
  <si>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</si>
  <si>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</si>
  <si>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</si>
  <si>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</si>
  <si>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</si>
  <si>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</si>
  <si>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</si>
  <si>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</si>
  <si>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</si>
  <si>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</si>
  <si>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</si>
  <si>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</si>
  <si>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</si>
  <si>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</si>
  <si>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</si>
  <si>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</si>
  <si>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</si>
  <si>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</si>
  <si>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</si>
  <si>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</si>
  <si>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</si>
  <si>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</si>
  <si>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</si>
  <si>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</si>
  <si>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</si>
  <si>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</si>
  <si>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</si>
  <si>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</si>
  <si>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</si>
  <si>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</si>
  <si>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</si>
  <si>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</si>
  <si>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</si>
  <si>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</si>
  <si>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</si>
  <si>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</si>
  <si>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</si>
  <si>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</si>
  <si>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</si>
  <si>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</si>
  <si>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</si>
  <si>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</si>
  <si>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</si>
  <si>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</si>
  <si>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</si>
  <si>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</si>
  <si>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</si>
  <si>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</si>
  <si>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</si>
  <si>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</si>
  <si>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</si>
  <si>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</si>
  <si>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</si>
  <si>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</si>
  <si>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</si>
  <si>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</si>
  <si>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</si>
  <si>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</si>
  <si>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</si>
  <si>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</si>
  <si>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</si>
  <si>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</si>
  <si>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</si>
  <si>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</si>
  <si>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</si>
  <si>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</si>
  <si>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</si>
  <si>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</si>
  <si>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</si>
  <si>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</si>
  <si>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</si>
  <si>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</si>
  <si>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</si>
  <si>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</si>
  <si>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</si>
  <si>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</si>
  <si>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</si>
  <si>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</si>
  <si>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</si>
  <si>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</si>
  <si>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</si>
  <si>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</si>
  <si>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</si>
  <si>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</si>
  <si>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</si>
  <si>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</si>
  <si>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</si>
  <si>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</si>
  <si>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</si>
  <si>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</si>
  <si>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</si>
  <si>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</si>
  <si>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</si>
  <si>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</si>
  <si>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</si>
  <si>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</si>
  <si>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</si>
  <si>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</si>
  <si>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</si>
  <si>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</si>
  <si>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</si>
  <si>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</si>
  <si>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</si>
  <si>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</si>
  <si>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</si>
  <si>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</si>
  <si>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</si>
  <si>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</si>
  <si>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</si>
  <si>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</si>
  <si>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</si>
  <si>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</si>
  <si>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</si>
  <si>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</si>
  <si>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</si>
  <si>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</si>
  <si>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</si>
  <si>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</si>
  <si>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</si>
  <si>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</si>
  <si>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</si>
  <si>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</si>
  <si>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</si>
  <si>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</si>
  <si>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</si>
  <si>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</si>
  <si>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</si>
  <si>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</si>
  <si>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</si>
  <si>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</si>
  <si>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</si>
  <si>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</si>
  <si>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</si>
  <si>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</si>
  <si>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</si>
  <si>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</si>
  <si>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</si>
  <si>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</si>
  <si>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</si>
  <si>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</si>
  <si>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</si>
  <si>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</si>
  <si>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</si>
  <si>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</si>
  <si>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</si>
  <si>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</si>
  <si>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</si>
  <si>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</si>
  <si>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</si>
  <si>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</si>
  <si>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</si>
  <si>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</si>
  <si>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</si>
  <si>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</si>
  <si>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</si>
  <si>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</si>
  <si>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</si>
  <si>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</si>
  <si>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</si>
  <si>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</si>
  <si>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</si>
  <si>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</si>
  <si>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</si>
  <si>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</si>
  <si>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</si>
  <si>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</si>
  <si>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</si>
  <si>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</si>
  <si>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</si>
  <si>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</si>
  <si>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</si>
  <si>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</si>
  <si>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</si>
  <si>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</si>
  <si>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</si>
  <si>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</si>
  <si>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</si>
  <si>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</si>
  <si>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</si>
  <si>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</si>
  <si>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</si>
  <si>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</si>
  <si>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</si>
  <si>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</si>
  <si>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</si>
  <si>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</si>
  <si>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</si>
  <si>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</si>
  <si>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</si>
  <si>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</si>
  <si>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</si>
  <si>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</si>
  <si>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</si>
  <si>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</si>
  <si>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</si>
  <si>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</si>
  <si>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</si>
  <si>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</si>
  <si>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</si>
  <si>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</si>
  <si>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</si>
  <si>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</si>
  <si>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</si>
  <si>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</si>
  <si>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</si>
  <si>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</si>
  <si>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</si>
  <si>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</si>
  <si>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</si>
  <si>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</si>
  <si>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</si>
  <si>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</si>
  <si>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</si>
  <si>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</si>
  <si>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</si>
  <si>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</si>
  <si>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</si>
  <si>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</si>
  <si>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</si>
  <si>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</si>
  <si>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</si>
  <si>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</si>
  <si>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</si>
  <si>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</si>
  <si>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</si>
  <si>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</si>
  <si>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</si>
  <si>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</si>
  <si>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</si>
  <si>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</si>
  <si>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</si>
  <si>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</si>
  <si>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</si>
  <si>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</si>
  <si>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</si>
  <si>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</si>
  <si>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</si>
  <si>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</si>
  <si>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</si>
  <si>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</si>
  <si>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</si>
  <si>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</si>
  <si>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</si>
  <si>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</si>
  <si>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</si>
  <si>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</si>
  <si>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</si>
  <si>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</si>
  <si>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</si>
  <si>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</si>
  <si>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</si>
  <si>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</si>
  <si>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</si>
  <si>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</si>
  <si>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</si>
  <si>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</si>
  <si>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</si>
  <si>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</si>
  <si>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</si>
  <si>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</si>
  <si>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</si>
  <si>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</si>
  <si>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</si>
  <si>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</si>
  <si>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</si>
  <si>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</si>
  <si>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</si>
  <si>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</si>
  <si>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</si>
  <si>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</si>
  <si>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</si>
  <si>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</si>
  <si>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</si>
  <si>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</si>
  <si>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</si>
  <si>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</si>
  <si>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</si>
  <si>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</si>
  <si>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</si>
  <si>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</si>
  <si>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</si>
  <si>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</si>
  <si>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</si>
  <si>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</si>
  <si>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</si>
  <si>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</si>
  <si>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</si>
  <si>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</si>
  <si>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</si>
  <si>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</si>
  <si>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</si>
  <si>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</si>
  <si>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</si>
  <si>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</si>
  <si>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</si>
  <si>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</si>
  <si>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</si>
  <si>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</si>
  <si>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</si>
  <si>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</si>
  <si>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</si>
  <si>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</si>
  <si>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</si>
  <si>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</si>
  <si>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</si>
  <si>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</si>
  <si>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</si>
  <si>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</si>
  <si>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</si>
  <si>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</si>
  <si>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</si>
  <si>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</si>
  <si>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</si>
  <si>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</si>
  <si>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</si>
  <si>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</si>
  <si>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</si>
  <si>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</si>
  <si>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</si>
  <si>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</si>
  <si>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</si>
  <si>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</si>
  <si>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</si>
  <si>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</si>
  <si>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</si>
  <si>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</si>
  <si>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</si>
  <si>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</si>
  <si>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</si>
  <si>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</si>
  <si>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</si>
  <si>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</si>
  <si>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</si>
  <si>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</si>
  <si>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</si>
  <si>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</si>
  <si>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</si>
  <si>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</si>
  <si>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</si>
  <si>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</si>
  <si>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</si>
  <si>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</si>
  <si>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</si>
  <si>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</si>
  <si>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</si>
  <si>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</si>
  <si>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</si>
  <si>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</si>
  <si>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</si>
  <si>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</si>
  <si>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</si>
  <si>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</si>
  <si>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</si>
  <si>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</si>
  <si>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</si>
  <si>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</si>
  <si>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</si>
  <si>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</si>
  <si>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</si>
  <si>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</si>
  <si>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</si>
  <si>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</si>
  <si>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</si>
  <si>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</si>
  <si>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</si>
  <si>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</si>
  <si>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</si>
  <si>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</si>
  <si>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</si>
  <si>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</si>
  <si>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</si>
  <si>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</si>
  <si>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</si>
  <si>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</si>
  <si>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</si>
  <si>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</si>
  <si>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</si>
  <si>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</si>
  <si>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</si>
  <si>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</si>
  <si>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</si>
  <si>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</si>
  <si>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</si>
  <si>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</si>
  <si>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</si>
  <si>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</si>
  <si>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</si>
  <si>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</si>
  <si>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</si>
  <si>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</si>
  <si>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</si>
  <si>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</si>
  <si>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</si>
  <si>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</si>
  <si>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</si>
  <si>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</si>
  <si>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</si>
  <si>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</si>
  <si>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</si>
  <si>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</si>
  <si>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</si>
  <si>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</si>
  <si>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</si>
  <si>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</si>
  <si>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</si>
  <si>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</si>
  <si>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</si>
  <si>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</si>
  <si>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</si>
  <si>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</si>
  <si>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</si>
  <si>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</si>
  <si>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</si>
  <si>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</si>
  <si>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</si>
  <si>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</si>
  <si>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</si>
  <si>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</si>
  <si>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</si>
  <si>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</si>
  <si>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</si>
  <si>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</si>
  <si>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</si>
  <si>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</si>
  <si>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</si>
  <si>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</si>
  <si>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</si>
  <si>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</si>
  <si>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</si>
  <si>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</si>
  <si>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</si>
  <si>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</si>
  <si>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</si>
  <si>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</si>
  <si>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</si>
  <si>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</si>
  <si>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</si>
  <si>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</si>
  <si>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</si>
  <si>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</si>
  <si>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</si>
  <si>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</si>
  <si>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</si>
  <si>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</si>
  <si>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</si>
  <si>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</si>
  <si>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</si>
  <si>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</si>
  <si>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</si>
  <si>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</si>
  <si>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</si>
  <si>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</si>
  <si>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</si>
  <si>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</si>
  <si>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</si>
  <si>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</si>
  <si>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</si>
  <si>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</si>
  <si>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</si>
  <si>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</si>
  <si>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</si>
  <si>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</si>
  <si>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</si>
  <si>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</si>
  <si>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</si>
  <si>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</si>
  <si>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</si>
  <si>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</si>
  <si>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</si>
  <si>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</si>
  <si>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</si>
  <si>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</si>
  <si>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</si>
  <si>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</si>
  <si>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</si>
  <si>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</si>
  <si>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</si>
  <si>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</si>
  <si>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</si>
  <si>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</si>
  <si>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</si>
  <si>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</si>
  <si>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</si>
  <si>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</si>
  <si>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</si>
  <si>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</si>
  <si>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</si>
  <si>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</si>
  <si>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</si>
  <si>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</si>
  <si>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</si>
  <si>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</si>
  <si>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</si>
  <si>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</si>
  <si>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</si>
  <si>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</si>
  <si>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</si>
  <si>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</si>
  <si>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</si>
  <si>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</si>
  <si>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</si>
  <si>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</si>
  <si>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</si>
  <si>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</si>
  <si>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</si>
  <si>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</si>
  <si>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</si>
  <si>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</si>
  <si>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</si>
  <si>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</si>
  <si>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</si>
  <si>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</si>
  <si>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</si>
  <si>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</si>
  <si>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</si>
  <si>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</si>
  <si>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</si>
  <si>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</si>
  <si>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</si>
  <si>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</si>
  <si>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</si>
  <si>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</si>
  <si>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</si>
  <si>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</si>
  <si>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</si>
  <si>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</si>
  <si>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</si>
  <si>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</si>
  <si>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</si>
  <si>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</si>
  <si>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</si>
  <si>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</si>
  <si>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</si>
  <si>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</si>
  <si>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</si>
  <si>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</si>
  <si>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</si>
  <si>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</si>
  <si>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</si>
  <si>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</si>
  <si>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</si>
  <si>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</si>
  <si>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</si>
  <si>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</si>
  <si>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</si>
  <si>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</si>
  <si>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</si>
  <si>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</si>
  <si>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</si>
  <si>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</si>
  <si>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</si>
  <si>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</si>
  <si>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</si>
  <si>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</si>
  <si>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</si>
  <si>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</si>
  <si>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</si>
  <si>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</si>
  <si>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</si>
  <si>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</si>
  <si>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</si>
  <si>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</si>
  <si>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</si>
  <si>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</si>
  <si>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</si>
  <si>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</si>
  <si>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</si>
  <si>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</si>
  <si>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</si>
  <si>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</si>
  <si>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</si>
  <si>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</si>
  <si>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</si>
  <si>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</si>
  <si>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</si>
  <si>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</si>
  <si>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</si>
  <si>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</si>
  <si>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</si>
  <si>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</si>
  <si>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</si>
  <si>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</si>
  <si>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</si>
  <si>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</si>
  <si>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</si>
  <si>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</si>
  <si>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</si>
  <si>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</si>
  <si>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</si>
  <si>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</si>
  <si>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</si>
  <si>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</si>
  <si>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</si>
  <si>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</si>
  <si>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</si>
  <si>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</si>
  <si>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</si>
  <si>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</si>
  <si>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</si>
  <si>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</si>
  <si>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</si>
  <si>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</si>
  <si>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</si>
  <si>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</si>
  <si>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</si>
  <si>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</si>
  <si>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</si>
  <si>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</si>
  <si>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</si>
  <si>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</si>
  <si>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</si>
  <si>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</si>
  <si>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</si>
  <si>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</si>
  <si>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</si>
  <si>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</si>
  <si>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</si>
  <si>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</si>
  <si>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</si>
  <si>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</si>
  <si>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</si>
  <si>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</si>
  <si>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</si>
  <si>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</si>
  <si>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</si>
  <si>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</si>
  <si>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</si>
  <si>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</si>
  <si>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</si>
  <si>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</si>
  <si>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</si>
  <si>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</si>
  <si>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</si>
  <si>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</si>
  <si>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</si>
  <si>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</si>
  <si>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</si>
  <si>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</si>
  <si>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</si>
  <si>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</si>
  <si>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</si>
  <si>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</si>
  <si>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</si>
  <si>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</si>
  <si>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</si>
  <si>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</si>
  <si>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</si>
  <si>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</si>
  <si>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</si>
  <si>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</si>
  <si>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</si>
  <si>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</si>
  <si>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</si>
  <si>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</si>
  <si>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</si>
  <si>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</si>
  <si>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</si>
  <si>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</si>
  <si>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</si>
  <si>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</si>
  <si>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</si>
  <si>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</si>
  <si>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</si>
  <si>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</si>
  <si>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</si>
  <si>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</si>
  <si>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</si>
  <si>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</si>
  <si>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</si>
  <si>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</si>
  <si>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</si>
  <si>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</si>
  <si>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</si>
  <si>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</si>
  <si>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</si>
  <si>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</si>
  <si>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</si>
  <si>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</si>
  <si>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</si>
  <si>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</si>
  <si>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</si>
  <si>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</si>
  <si>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</si>
  <si>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</si>
  <si>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</si>
  <si>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</si>
  <si>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</si>
  <si>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</si>
  <si>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</si>
  <si>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</si>
  <si>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</si>
  <si>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</si>
  <si>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</si>
  <si>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</si>
  <si>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</si>
  <si>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</si>
  <si>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</si>
  <si>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</si>
  <si>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</si>
  <si>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</si>
  <si>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</si>
  <si>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</si>
  <si>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</si>
  <si>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</si>
  <si>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</si>
  <si>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</si>
  <si>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</si>
  <si>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</si>
  <si>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</si>
  <si>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</si>
  <si>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</si>
  <si>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</si>
  <si>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</si>
  <si>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</si>
  <si>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</si>
  <si>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</si>
  <si>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</si>
  <si>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</si>
  <si>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</si>
  <si>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</si>
  <si>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</si>
  <si>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</si>
  <si>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</si>
  <si>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</si>
  <si>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</si>
  <si>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</si>
  <si>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</si>
  <si>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</si>
  <si>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</si>
  <si>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</si>
  <si>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</si>
  <si>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</si>
  <si>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</si>
  <si>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</si>
  <si>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</si>
  <si>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</si>
  <si>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</si>
  <si>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</si>
  <si>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</si>
  <si>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</si>
  <si>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</si>
  <si>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</si>
  <si>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</si>
  <si>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</si>
  <si>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</si>
  <si>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</si>
  <si>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</si>
  <si>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</si>
  <si>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</si>
  <si>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</si>
  <si>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</si>
  <si>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</si>
  <si>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</si>
  <si>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</si>
  <si>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</si>
  <si>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</si>
  <si>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</si>
  <si>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</si>
  <si>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</si>
  <si>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</si>
  <si>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</si>
  <si>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</si>
  <si>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</si>
  <si>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</si>
  <si>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</si>
  <si>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</si>
  <si>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</si>
  <si>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</si>
  <si>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</si>
  <si>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</si>
  <si>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</si>
  <si>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</si>
  <si>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</si>
  <si>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</si>
  <si>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</si>
  <si>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</si>
  <si>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</si>
  <si>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</si>
  <si>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</si>
  <si>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</si>
  <si>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</si>
  <si>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</si>
  <si>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</si>
  <si>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</si>
  <si>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</si>
  <si>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</si>
  <si>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</si>
  <si>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</si>
  <si>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</si>
  <si>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</si>
  <si>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</si>
  <si>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</si>
  <si>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</si>
  <si>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</si>
  <si>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</si>
  <si>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</si>
  <si>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</si>
  <si>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</si>
  <si>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</si>
  <si>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</si>
  <si>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</si>
  <si>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</si>
  <si>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</si>
  <si>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</si>
  <si>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</si>
  <si>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</si>
  <si>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</si>
  <si>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</si>
  <si>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</si>
  <si>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</si>
  <si>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</si>
  <si>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</si>
  <si>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</si>
  <si>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</si>
  <si>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</si>
  <si>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</si>
  <si>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</si>
  <si>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</si>
  <si>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</si>
  <si>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</si>
  <si>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</si>
  <si>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</si>
  <si>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</si>
  <si>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</si>
  <si>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</si>
  <si>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</si>
  <si>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</si>
  <si>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</si>
  <si>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</si>
  <si>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</si>
  <si>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</si>
  <si>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</si>
  <si>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</si>
  <si>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</si>
  <si>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</si>
  <si>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</si>
  <si>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</si>
  <si>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</si>
  <si>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</si>
  <si>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</si>
  <si>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</si>
  <si>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</si>
  <si>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</si>
  <si>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</si>
  <si>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</si>
  <si>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</si>
  <si>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</si>
  <si>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</si>
  <si>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</si>
  <si>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</si>
  <si>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</si>
  <si>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</si>
  <si>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</si>
  <si>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</si>
  <si>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</si>
  <si>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</si>
  <si>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</si>
  <si>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</si>
  <si>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</si>
  <si>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</si>
  <si>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</si>
  <si>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</si>
  <si>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</si>
  <si>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</si>
  <si>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</si>
  <si>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</si>
  <si>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</si>
  <si>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</si>
  <si>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</si>
  <si>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</si>
  <si>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</si>
  <si>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</si>
  <si>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</si>
  <si>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</si>
  <si>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</si>
  <si>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</si>
  <si>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</si>
  <si>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</si>
  <si>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</si>
  <si>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</si>
  <si>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</si>
  <si>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</si>
  <si>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</si>
  <si>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</si>
  <si>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</si>
  <si>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</si>
  <si>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</si>
  <si>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</si>
  <si>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</si>
  <si>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</si>
  <si>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</si>
  <si>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</si>
  <si>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</si>
  <si>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</si>
  <si>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</si>
  <si>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</si>
  <si>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</si>
  <si>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</si>
  <si>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</si>
  <si>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</si>
  <si>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</si>
  <si>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</si>
  <si>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</si>
  <si>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</si>
  <si>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</si>
  <si>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</si>
  <si>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</si>
  <si>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</si>
  <si>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</si>
  <si>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</si>
  <si>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</si>
  <si>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</si>
  <si>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</si>
  <si>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</si>
  <si>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</si>
  <si>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</si>
  <si>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</si>
  <si>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</si>
  <si>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</si>
  <si>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</si>
  <si>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</si>
  <si>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</si>
  <si>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</si>
  <si>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</si>
  <si>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</si>
  <si>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</si>
  <si>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</si>
  <si>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</si>
  <si>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</si>
  <si>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</si>
  <si>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</si>
  <si>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</si>
  <si>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</si>
  <si>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</si>
  <si>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</si>
  <si>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</si>
  <si>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</si>
  <si>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</si>
  <si>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</si>
  <si>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</si>
  <si>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</si>
  <si>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</si>
  <si>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</si>
  <si>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</si>
  <si>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</si>
  <si>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</si>
  <si>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</si>
  <si>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</si>
  <si>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</si>
  <si>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</si>
  <si>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</si>
  <si>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</si>
  <si>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</si>
  <si>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</si>
  <si>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</si>
  <si>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</si>
  <si>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</si>
  <si>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</si>
  <si>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</si>
  <si>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</si>
  <si>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</si>
  <si>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</si>
  <si>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</si>
  <si>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</si>
  <si>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</si>
  <si>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</si>
  <si>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</si>
  <si>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</si>
  <si>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</si>
  <si>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</si>
  <si>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</si>
  <si>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</si>
  <si>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</si>
  <si>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</si>
  <si>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</si>
  <si>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</si>
  <si>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</si>
  <si>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</si>
  <si>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</si>
  <si>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</si>
  <si>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</si>
  <si>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</si>
  <si>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</si>
  <si>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</si>
  <si>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</si>
  <si>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</si>
  <si>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</si>
  <si>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</si>
  <si>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</si>
  <si>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</si>
  <si>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</si>
  <si>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</si>
  <si>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</si>
  <si>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</si>
  <si>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</si>
  <si>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</si>
  <si>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</si>
  <si>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</si>
  <si>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</si>
  <si>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</si>
  <si>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</si>
  <si>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</si>
  <si>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</si>
  <si>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</si>
  <si>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</si>
  <si>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</si>
  <si>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</si>
  <si>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</si>
  <si>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</si>
  <si>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</si>
  <si>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</si>
  <si>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</si>
  <si>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</si>
  <si>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</si>
  <si>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</si>
  <si>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</si>
  <si>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</si>
  <si>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</si>
  <si>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</si>
  <si>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</si>
  <si>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</si>
  <si>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</si>
  <si>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</si>
  <si>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</si>
  <si>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</si>
  <si>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</si>
  <si>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</si>
  <si>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</si>
  <si>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</si>
  <si>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</si>
  <si>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</si>
  <si>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</si>
  <si>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</si>
  <si>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</si>
  <si>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</si>
  <si>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</si>
  <si>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</si>
  <si>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</si>
  <si>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</si>
  <si>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</si>
  <si>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</si>
  <si>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</si>
  <si>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</si>
  <si>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</si>
  <si>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</si>
  <si>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</si>
  <si>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</si>
  <si>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</si>
  <si>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</si>
  <si>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</si>
  <si>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</si>
  <si>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</si>
  <si>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</si>
  <si>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</si>
  <si>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</si>
  <si>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</si>
  <si>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</si>
  <si>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</si>
  <si>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</si>
  <si>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</si>
  <si>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</si>
  <si>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</si>
  <si>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</si>
  <si>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</si>
  <si>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</si>
  <si>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</si>
  <si>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</si>
  <si>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</si>
  <si>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</si>
  <si>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</si>
  <si>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</si>
  <si>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</si>
  <si>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</si>
  <si>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</si>
  <si>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</si>
  <si>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</si>
  <si>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</si>
  <si>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</si>
  <si>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</si>
  <si>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</si>
  <si>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</si>
  <si>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</si>
  <si>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</si>
  <si>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</si>
  <si>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</si>
  <si>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</si>
  <si>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</si>
  <si>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</si>
  <si>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</si>
  <si>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</si>
  <si>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</si>
  <si>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</si>
  <si>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</si>
  <si>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</si>
  <si>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</si>
  <si>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</si>
  <si>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</si>
  <si>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</si>
  <si>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</si>
  <si>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</si>
  <si>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</si>
  <si>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</si>
  <si>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</si>
  <si>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</si>
  <si>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</si>
  <si>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</si>
  <si>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</si>
  <si>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</si>
  <si>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</si>
  <si>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</si>
  <si>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</si>
  <si>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</si>
  <si>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</si>
  <si>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</si>
  <si>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</si>
  <si>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</si>
  <si>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</si>
  <si>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</si>
  <si>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</si>
  <si>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</si>
  <si>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</si>
  <si>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</si>
  <si>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</si>
  <si>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</si>
  <si>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</si>
  <si>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</si>
  <si>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</si>
  <si>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</si>
  <si>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</si>
  <si>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</si>
  <si>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</si>
  <si>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</si>
  <si>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</si>
  <si>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</si>
  <si>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</si>
  <si>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</si>
  <si>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</si>
  <si>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</si>
  <si>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</si>
  <si>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</si>
  <si>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</si>
  <si>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</si>
  <si>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</si>
  <si>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</si>
  <si>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</si>
  <si>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</si>
  <si>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</si>
  <si>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</si>
  <si>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</si>
  <si>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</si>
  <si>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</si>
  <si>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</si>
  <si>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</si>
  <si>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</si>
  <si>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</si>
  <si>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</si>
  <si>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</si>
  <si>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</si>
  <si>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</si>
  <si>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</si>
  <si>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</si>
  <si>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</si>
  <si>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</si>
  <si>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</si>
  <si>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</si>
  <si>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</si>
  <si>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</si>
  <si>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</si>
  <si>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</si>
  <si>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</si>
  <si>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</si>
  <si>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</si>
  <si>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</si>
  <si>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</si>
  <si>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</si>
  <si>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</si>
  <si>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</si>
  <si>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</si>
  <si>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</si>
  <si>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</si>
  <si>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</si>
  <si>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</si>
  <si>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</si>
  <si>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</si>
  <si>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</si>
  <si>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</si>
  <si>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</si>
  <si>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</si>
  <si>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</si>
  <si>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</si>
  <si>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</si>
  <si>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</si>
  <si>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</si>
  <si>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</si>
  <si>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</si>
  <si>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</si>
  <si>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</si>
  <si>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</si>
  <si>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</si>
  <si>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</si>
  <si>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</si>
  <si>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</si>
  <si>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</si>
  <si>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</si>
  <si>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</si>
  <si>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</si>
  <si>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</si>
  <si>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</si>
  <si>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</si>
  <si>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</si>
  <si>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</si>
  <si>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</si>
  <si>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</si>
  <si>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</si>
  <si>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</si>
  <si>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</si>
  <si>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</si>
  <si>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</si>
  <si>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</si>
  <si>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</si>
  <si>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</si>
  <si>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</si>
  <si>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</si>
  <si>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</si>
  <si>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</si>
  <si>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</si>
  <si>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</si>
  <si>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</si>
  <si>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</si>
  <si>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</si>
  <si>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</si>
  <si>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</si>
  <si>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</si>
  <si>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</si>
  <si>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</si>
  <si>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</si>
  <si>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</si>
  <si>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</si>
  <si>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</si>
  <si>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</si>
  <si>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</si>
  <si>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</si>
  <si>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</si>
  <si>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</si>
  <si>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</si>
  <si>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</si>
  <si>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</si>
  <si>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</si>
  <si>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</si>
  <si>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</si>
  <si>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</si>
  <si>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</si>
  <si>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</si>
  <si>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</si>
  <si>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</si>
  <si>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</si>
  <si>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</si>
  <si>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</si>
  <si>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</si>
  <si>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</si>
  <si>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</si>
  <si>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</si>
  <si>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</si>
  <si>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</si>
  <si>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</si>
  <si>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</si>
  <si>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</si>
  <si>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</si>
  <si>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</si>
  <si>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</si>
  <si>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</si>
  <si>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</si>
  <si>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</si>
  <si>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</si>
  <si>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</si>
  <si>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</si>
  <si>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</si>
  <si>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</si>
  <si>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</si>
  <si>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</si>
  <si>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</si>
  <si>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</si>
  <si>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</si>
  <si>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</si>
  <si>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</si>
  <si>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</si>
  <si>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</si>
  <si>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</si>
  <si>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</si>
  <si>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</si>
  <si>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</si>
  <si>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</si>
  <si>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</si>
  <si>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</si>
  <si>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</si>
  <si>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</si>
  <si>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</si>
  <si>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</si>
  <si>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</si>
  <si>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</si>
  <si>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</si>
  <si>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</si>
  <si>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</si>
  <si>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</si>
  <si>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</si>
  <si>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</si>
  <si>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</si>
  <si>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</si>
  <si>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</si>
  <si>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</si>
  <si>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</si>
  <si>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</si>
  <si>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</si>
  <si>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</si>
  <si>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</si>
  <si>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</si>
  <si>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</si>
  <si>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</si>
  <si>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</si>
  <si>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</si>
  <si>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</si>
  <si>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</si>
  <si>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</si>
  <si>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</si>
  <si>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</si>
  <si>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</si>
  <si>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</si>
  <si>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</si>
  <si>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</si>
  <si>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</si>
  <si>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</si>
  <si>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</si>
  <si>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</si>
  <si>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</si>
  <si>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</si>
  <si>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</si>
  <si>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</si>
  <si>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</si>
  <si>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</si>
  <si>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</si>
  <si>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</si>
  <si>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</si>
  <si>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</si>
  <si>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</si>
  <si>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</si>
  <si>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</si>
  <si>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</si>
  <si>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</si>
  <si>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</si>
  <si>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</si>
  <si>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</si>
  <si>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</si>
  <si>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</si>
  <si>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</si>
  <si>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</si>
  <si>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</si>
  <si>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</si>
  <si>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</si>
  <si>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</si>
  <si>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</si>
  <si>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</si>
  <si>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</si>
  <si>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</si>
  <si>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</si>
  <si>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</si>
  <si>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</si>
  <si>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</si>
  <si>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</si>
  <si>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</si>
  <si>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</si>
  <si>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</si>
  <si>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</si>
  <si>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</si>
  <si>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</si>
  <si>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</si>
  <si>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</si>
  <si>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</si>
  <si>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</si>
  <si>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</si>
  <si>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</si>
  <si>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</si>
  <si>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</si>
  <si>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</si>
  <si>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</si>
  <si>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</si>
  <si>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</si>
  <si>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</si>
  <si>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</si>
  <si>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</si>
  <si>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</si>
  <si>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</si>
  <si>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</si>
  <si>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</si>
  <si>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</si>
  <si>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</si>
  <si>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</si>
  <si>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</si>
  <si>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</si>
  <si>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</si>
  <si>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</si>
  <si>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</si>
  <si>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</si>
  <si>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</si>
  <si>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</si>
  <si>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</si>
  <si>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</si>
  <si>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</si>
  <si>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</si>
  <si>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</si>
  <si>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</si>
  <si>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</si>
  <si>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</si>
  <si>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</si>
  <si>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</si>
  <si>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</si>
  <si>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</si>
  <si>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</si>
  <si>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</si>
  <si>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</si>
  <si>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</si>
  <si>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</si>
  <si>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</si>
  <si>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</si>
  <si>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</si>
  <si>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</si>
  <si>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</si>
  <si>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</si>
  <si>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</si>
  <si>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</si>
  <si>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</si>
  <si>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</si>
  <si>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</si>
  <si>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</si>
  <si>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</si>
  <si>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</si>
  <si>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</si>
  <si>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</si>
  <si>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</si>
  <si>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</si>
  <si>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</si>
  <si>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</si>
  <si>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</si>
  <si>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</si>
  <si>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</si>
  <si>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</si>
  <si>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</si>
  <si>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</si>
  <si>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</si>
  <si>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</si>
  <si>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</si>
  <si>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</si>
  <si>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</si>
  <si>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</si>
  <si>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</si>
  <si>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</si>
  <si>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</si>
  <si>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</si>
  <si>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</si>
  <si>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</si>
  <si>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</si>
  <si>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</si>
  <si>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</si>
  <si>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</si>
  <si>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</si>
  <si>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</si>
  <si>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</si>
  <si>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</si>
  <si>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</si>
  <si>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</si>
  <si>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</si>
  <si>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</si>
  <si>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</si>
  <si>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</si>
  <si>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</si>
  <si>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</si>
  <si>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</si>
  <si>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</si>
  <si>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</si>
  <si>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</si>
  <si>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</si>
  <si>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</si>
  <si>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</si>
  <si>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</si>
  <si>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</si>
  <si>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</si>
  <si>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</si>
  <si>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</si>
  <si>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</si>
  <si>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</si>
  <si>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</si>
  <si>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</si>
  <si>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</si>
  <si>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</si>
  <si>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</si>
  <si>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</si>
  <si>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</si>
  <si>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</si>
  <si>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</si>
  <si>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</si>
  <si>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</si>
  <si>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</si>
  <si>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</si>
  <si>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</si>
  <si>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</si>
  <si>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</si>
  <si>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</si>
  <si>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</si>
  <si>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</si>
  <si>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</si>
  <si>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</si>
  <si>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</si>
  <si>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</si>
  <si>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</si>
  <si>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</si>
  <si>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</si>
  <si>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</si>
  <si>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</si>
  <si>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</si>
  <si>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</si>
  <si>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</si>
  <si>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</si>
  <si>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</si>
  <si>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</si>
  <si>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</si>
  <si>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</si>
  <si>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</si>
  <si>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</si>
  <si>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</si>
  <si>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</si>
  <si>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</si>
  <si>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</si>
  <si>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</si>
  <si>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</si>
  <si>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</si>
  <si>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</si>
  <si>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</si>
  <si>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</si>
  <si>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</si>
  <si>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</si>
  <si>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</si>
  <si>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</si>
  <si>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</si>
  <si>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</si>
  <si>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</si>
  <si>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</si>
  <si>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</si>
  <si>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</si>
  <si>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</si>
  <si>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</si>
  <si>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</si>
  <si>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</si>
  <si>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</si>
  <si>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</si>
  <si>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</si>
  <si>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</si>
  <si>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</si>
  <si>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</si>
  <si>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</si>
  <si>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</si>
  <si>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</si>
  <si>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</si>
  <si>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</si>
  <si>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</si>
  <si>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</si>
  <si>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</si>
  <si>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</si>
  <si>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</si>
  <si>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</si>
  <si>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</si>
  <si>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</si>
  <si>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</si>
  <si>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</si>
  <si>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</si>
  <si>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</si>
  <si>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</si>
  <si>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</si>
  <si>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</si>
  <si>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</si>
  <si>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</si>
  <si>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</si>
  <si>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</si>
  <si>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</si>
  <si>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</si>
  <si>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</si>
  <si>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</si>
  <si>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</si>
  <si>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</si>
  <si>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</si>
  <si>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</si>
  <si>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</si>
  <si>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</si>
  <si>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</si>
  <si>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</si>
  <si>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</si>
  <si>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</si>
  <si>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</si>
  <si>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</si>
  <si>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</si>
  <si>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</si>
  <si>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</si>
  <si>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</si>
  <si>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</si>
  <si>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</si>
  <si>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</si>
  <si>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</si>
  <si>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</si>
  <si>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</si>
  <si>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</si>
  <si>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</si>
  <si>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</si>
  <si>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</si>
  <si>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</si>
  <si>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</si>
  <si>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</si>
  <si>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</si>
  <si>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</si>
  <si>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</si>
  <si>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</si>
  <si>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</si>
  <si>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</si>
  <si>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</si>
  <si>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</si>
  <si>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</si>
  <si>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</si>
  <si>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</si>
  <si>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</si>
  <si>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</si>
  <si>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</si>
  <si>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</si>
  <si>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</si>
  <si>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</si>
  <si>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</si>
  <si>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</si>
  <si>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</si>
  <si>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</si>
  <si>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</si>
  <si>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</si>
  <si>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</si>
  <si>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</si>
  <si>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</si>
  <si>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</si>
  <si>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</si>
  <si>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</si>
  <si>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</si>
  <si>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</si>
  <si>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</si>
  <si>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</si>
  <si>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</si>
  <si>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</si>
  <si>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</si>
  <si>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</si>
  <si>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</si>
  <si>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</si>
  <si>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</si>
  <si>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</si>
  <si>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</si>
  <si>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</si>
  <si>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</si>
  <si>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</si>
  <si>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</si>
  <si>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</si>
  <si>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</si>
  <si>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</si>
  <si>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</si>
  <si>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</si>
  <si>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</si>
  <si>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</si>
  <si>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</si>
  <si>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</si>
  <si>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</si>
  <si>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</si>
  <si>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</si>
  <si>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</si>
  <si>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</si>
  <si>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</si>
  <si>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</si>
  <si>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</si>
  <si>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</si>
  <si>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</si>
  <si>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</si>
  <si>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</si>
  <si>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</si>
  <si>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</si>
  <si>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</si>
  <si>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</si>
  <si>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</si>
  <si>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</si>
  <si>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</si>
  <si>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</si>
  <si>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</si>
  <si>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</si>
  <si>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</si>
  <si>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</si>
  <si>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</si>
  <si>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</si>
  <si>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</si>
  <si>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</si>
  <si>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</si>
  <si>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</si>
  <si>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</si>
  <si>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</si>
  <si>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</si>
  <si>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</si>
  <si>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</si>
  <si>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</si>
  <si>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</si>
  <si>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</si>
  <si>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</si>
  <si>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</si>
  <si>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</si>
  <si>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</si>
  <si>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</si>
  <si>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</si>
  <si>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</si>
  <si>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</si>
  <si>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</si>
  <si>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</si>
  <si>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</si>
  <si>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</si>
  <si>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</si>
  <si>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</si>
  <si>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</si>
  <si>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</si>
  <si>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</si>
  <si>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</si>
  <si>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</si>
  <si>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</si>
  <si>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</si>
  <si>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</si>
  <si>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</si>
  <si>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</si>
  <si>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</si>
  <si>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</si>
  <si>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</si>
  <si>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</si>
  <si>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</si>
  <si>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</si>
  <si>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</si>
  <si>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</si>
  <si>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</si>
  <si>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</si>
  <si>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</si>
  <si>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</si>
  <si>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</si>
  <si>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</si>
  <si>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</si>
  <si>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</si>
  <si>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</si>
  <si>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</si>
  <si>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</si>
  <si>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</si>
  <si>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</si>
  <si>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</si>
  <si>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</si>
  <si>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</si>
  <si>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</si>
  <si>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</si>
  <si>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</si>
  <si>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</si>
  <si>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</si>
  <si>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</si>
  <si>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</si>
  <si>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</si>
  <si>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</si>
  <si>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</si>
  <si>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</si>
  <si>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</si>
  <si>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</si>
  <si>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</si>
  <si>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</si>
  <si>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</si>
  <si>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</si>
  <si>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</si>
  <si>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</si>
  <si>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</si>
  <si>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</si>
  <si>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</si>
  <si>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</si>
  <si>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</si>
  <si>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</si>
  <si>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</si>
  <si>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</si>
  <si>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</si>
  <si>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</si>
  <si>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</si>
  <si>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</si>
  <si>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</si>
  <si>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</si>
  <si>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</si>
  <si>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</si>
  <si>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</si>
  <si>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</si>
  <si>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</si>
  <si>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</si>
  <si>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</si>
  <si>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</si>
  <si>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</si>
  <si>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</si>
  <si>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</si>
  <si>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</si>
  <si>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</si>
  <si>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</si>
  <si>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</si>
  <si>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</si>
  <si>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</si>
  <si>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</si>
  <si>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</si>
  <si>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</si>
  <si>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</si>
  <si>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</si>
  <si>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</si>
  <si>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</si>
  <si>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</si>
  <si>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</si>
  <si>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</si>
  <si>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</si>
  <si>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</si>
  <si>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</si>
  <si>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</si>
  <si>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</si>
  <si>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</si>
  <si>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</si>
  <si>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</si>
  <si>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</si>
  <si>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</si>
  <si>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</si>
  <si>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</si>
  <si>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</si>
  <si>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</si>
  <si>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</si>
  <si>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</si>
  <si>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</si>
  <si>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</si>
  <si>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</si>
  <si>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</si>
  <si>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</si>
  <si>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</si>
  <si>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</si>
  <si>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</si>
  <si>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</si>
  <si>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</si>
  <si>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</si>
  <si>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</si>
  <si>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</si>
  <si>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</si>
  <si>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</si>
  <si>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</si>
  <si>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</si>
  <si>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</si>
  <si>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</si>
  <si>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</si>
  <si>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</si>
  <si>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</si>
  <si>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</si>
  <si>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</si>
  <si>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</si>
  <si>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</si>
  <si>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</si>
  <si>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</si>
  <si>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</si>
  <si>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</si>
  <si>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</si>
  <si>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</si>
  <si>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</si>
  <si>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</si>
  <si>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</si>
  <si>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</si>
  <si>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</si>
  <si>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</si>
  <si>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</si>
  <si>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</si>
  <si>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</si>
  <si>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</si>
  <si>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</si>
  <si>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</si>
  <si>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</si>
  <si>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</si>
  <si>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</si>
  <si>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</si>
  <si>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</si>
  <si>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</si>
  <si>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</si>
  <si>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</si>
  <si>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</si>
  <si>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</si>
  <si>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</si>
  <si>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</si>
  <si>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</si>
  <si>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</si>
  <si>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</si>
  <si>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</si>
  <si>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</si>
  <si>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</si>
  <si>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</si>
  <si>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</si>
  <si>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</si>
  <si>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</si>
  <si>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</si>
  <si>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</si>
  <si>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</si>
  <si>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</si>
  <si>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</si>
  <si>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</si>
  <si>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</si>
  <si>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</si>
  <si>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</si>
  <si>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</si>
  <si>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</si>
  <si>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</si>
  <si>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</si>
  <si>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</si>
  <si>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</si>
  <si>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</si>
  <si>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</si>
  <si>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</si>
  <si>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</si>
  <si>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</si>
  <si>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</si>
  <si>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</si>
  <si>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</si>
  <si>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</si>
  <si>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</si>
  <si>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</si>
  <si>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</si>
  <si>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</si>
  <si>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</si>
  <si>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</si>
  <si>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</si>
  <si>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</si>
  <si>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</si>
  <si>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</si>
  <si>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</si>
  <si>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</si>
  <si>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</si>
  <si>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</si>
  <si>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</si>
  <si>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</si>
  <si>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</si>
  <si>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</si>
  <si>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</si>
  <si>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</si>
  <si>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</si>
  <si>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</si>
  <si>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</si>
  <si>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</si>
  <si>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</si>
  <si>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</si>
  <si>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</si>
  <si>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</si>
  <si>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</si>
  <si>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</si>
  <si>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</si>
  <si>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</si>
  <si>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</si>
  <si>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</si>
  <si>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</si>
  <si>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</si>
  <si>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</si>
  <si>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</si>
  <si>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</si>
  <si>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</si>
  <si>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</si>
  <si>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</si>
  <si>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</si>
  <si>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</si>
  <si>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</si>
  <si>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</si>
  <si>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</si>
  <si>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</si>
  <si>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</si>
  <si>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</si>
  <si>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</si>
  <si>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</si>
  <si>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</si>
  <si>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</si>
  <si>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</si>
  <si>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</si>
  <si>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</si>
  <si>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</si>
  <si>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</si>
  <si>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</si>
  <si>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</si>
  <si>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</si>
  <si>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</si>
  <si>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</si>
  <si>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</si>
  <si>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</si>
  <si>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</si>
  <si>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</si>
  <si>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</si>
  <si>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</si>
  <si>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</si>
  <si>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</si>
  <si>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</si>
  <si>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</si>
  <si>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</si>
  <si>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</si>
  <si>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</si>
  <si>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</si>
  <si>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</si>
  <si>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</si>
  <si>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</si>
  <si>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</si>
  <si>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</si>
  <si>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</si>
  <si>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</si>
  <si>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</si>
  <si>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</si>
  <si>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</si>
  <si>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</si>
  <si>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</si>
  <si>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</si>
  <si>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</si>
  <si>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</si>
  <si>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</si>
  <si>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</si>
  <si>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</si>
  <si>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</si>
  <si>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</si>
  <si>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</si>
  <si>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</si>
  <si>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</si>
  <si>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</si>
  <si>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</si>
  <si>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</si>
  <si>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</si>
  <si>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</si>
  <si>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</si>
  <si>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</si>
  <si>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</si>
  <si>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</si>
  <si>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</si>
  <si>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</si>
  <si>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</si>
  <si>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</si>
  <si>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</si>
  <si>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</si>
  <si>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</si>
  <si>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</si>
  <si>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</si>
  <si>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</si>
  <si>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</si>
  <si>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</si>
  <si>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</si>
  <si>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</si>
  <si>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</si>
  <si>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</si>
  <si>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</si>
  <si>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</si>
  <si>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</si>
  <si>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</si>
  <si>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</si>
  <si>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</si>
  <si>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</si>
  <si>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</si>
  <si>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</si>
  <si>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</si>
  <si>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</si>
  <si>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</si>
  <si>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</si>
  <si>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</si>
  <si>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</si>
  <si>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</si>
  <si>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</si>
  <si>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</si>
  <si>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</si>
  <si>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</si>
  <si>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</si>
  <si>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</si>
  <si>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</si>
  <si>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</si>
  <si>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</si>
  <si>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</si>
  <si>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</si>
  <si>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</si>
  <si>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</si>
  <si>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</si>
  <si>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</si>
  <si>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</si>
  <si>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</si>
  <si>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</si>
  <si>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</si>
  <si>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</si>
  <si>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</si>
  <si>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</si>
  <si>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</si>
  <si>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</si>
  <si>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</si>
  <si>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</si>
  <si>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</si>
  <si>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</si>
  <si>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</si>
  <si>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</si>
  <si>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</si>
  <si>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</si>
  <si>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</si>
  <si>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</si>
  <si>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</si>
  <si>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</si>
  <si>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</si>
  <si>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</si>
  <si>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</si>
  <si>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</si>
  <si>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</si>
  <si>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</si>
  <si>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</si>
  <si>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</si>
  <si>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</si>
  <si>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</si>
  <si>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</si>
  <si>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</si>
  <si>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</si>
  <si>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</si>
  <si>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</si>
  <si>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</si>
  <si>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</si>
  <si>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</si>
  <si>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</si>
  <si>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</si>
  <si>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</si>
  <si>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</si>
  <si>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</si>
  <si>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</si>
  <si>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</si>
  <si>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</si>
  <si>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</si>
  <si>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</si>
  <si>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</si>
  <si>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</si>
  <si>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</si>
  <si>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</si>
  <si>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</si>
  <si>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</si>
  <si>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</si>
  <si>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</si>
  <si>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</si>
  <si>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</si>
  <si>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</si>
  <si>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</si>
  <si>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</si>
  <si>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</si>
  <si>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</si>
  <si>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</si>
  <si>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</si>
  <si>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</si>
  <si>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</si>
  <si>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</si>
  <si>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</si>
  <si>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</si>
  <si>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</si>
  <si>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</si>
  <si>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</si>
  <si>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</si>
  <si>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</si>
  <si>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</si>
  <si>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</si>
  <si>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</si>
  <si>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</si>
  <si>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</si>
  <si>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</si>
  <si>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</si>
  <si>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</si>
  <si>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</si>
  <si>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</si>
  <si>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</si>
  <si>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</si>
  <si>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</si>
  <si>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</si>
  <si>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</si>
  <si>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</si>
  <si>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</si>
  <si>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</si>
  <si>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</si>
  <si>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</si>
  <si>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</si>
  <si>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</si>
  <si>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</si>
  <si>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</si>
  <si>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</si>
  <si>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</si>
  <si>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</si>
  <si>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</si>
  <si>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</si>
  <si>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</si>
  <si>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</si>
  <si>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</si>
  <si>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</si>
  <si>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</si>
  <si>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</si>
  <si>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</si>
  <si>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</si>
  <si>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</si>
  <si>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</si>
  <si>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</si>
  <si>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</si>
  <si>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</si>
  <si>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</si>
  <si>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</si>
  <si>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</si>
  <si>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</si>
  <si>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</si>
  <si>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</si>
  <si>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</si>
  <si>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</si>
  <si>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</si>
  <si>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</si>
  <si>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</si>
  <si>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</si>
  <si>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</si>
  <si>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</si>
  <si>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</si>
  <si>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</si>
  <si>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</si>
  <si>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</si>
  <si>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</si>
  <si>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</si>
  <si>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</si>
  <si>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</si>
  <si>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</si>
  <si>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</si>
  <si>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</si>
  <si>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</si>
  <si>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</si>
  <si>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</si>
  <si>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</si>
  <si>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</si>
  <si>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</si>
  <si>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</si>
  <si>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</si>
  <si>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</si>
  <si>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</si>
  <si>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</si>
  <si>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r>
      <rPr>
        <sz val="10"/>
        <color theme="9" tint="-0.249977111117893"/>
        <rFont val="宋体"/>
        <family val="3"/>
        <charset val="134"/>
      </rPr>
      <t>西城区金融大街</t>
    </r>
    <r>
      <rPr>
        <sz val="10"/>
        <color theme="9" tint="-0.249977111117893"/>
        <rFont val="Arial"/>
        <family val="2"/>
      </rPr>
      <t>27</t>
    </r>
    <r>
      <rPr>
        <sz val="10"/>
        <color theme="9" tint="-0.249977111117893"/>
        <rFont val="宋体"/>
        <family val="3"/>
        <charset val="134"/>
      </rPr>
      <t>号</t>
    </r>
    <r>
      <rPr>
        <sz val="10"/>
        <color theme="9" tint="-0.249977111117893"/>
        <rFont val="Arial"/>
        <family val="2"/>
      </rPr>
      <t>7</t>
    </r>
    <r>
      <rPr>
        <sz val="10"/>
        <color theme="9" tint="-0.249977111117893"/>
        <rFont val="宋体"/>
        <family val="3"/>
        <charset val="134"/>
      </rPr>
      <t>层</t>
    </r>
    <r>
      <rPr>
        <sz val="10"/>
        <color theme="9" tint="-0.249977111117893"/>
        <rFont val="Arial"/>
        <family val="2"/>
      </rPr>
      <t>A</t>
    </r>
    <r>
      <rPr>
        <sz val="10"/>
        <color theme="9" tint="-0.249977111117893"/>
        <rFont val="宋体"/>
        <family val="3"/>
        <charset val="134"/>
      </rPr>
      <t>座</t>
    </r>
    <r>
      <rPr>
        <sz val="10"/>
        <color theme="9" tint="-0.249977111117893"/>
        <rFont val="Arial"/>
        <family val="2"/>
      </rPr>
      <t>701</t>
    </r>
    <r>
      <rPr>
        <sz val="10"/>
        <color theme="9" tint="-0.249977111117893"/>
        <rFont val="宋体"/>
        <family val="3"/>
        <charset val="134"/>
      </rPr>
      <t>等</t>
    </r>
    <r>
      <rPr>
        <sz val="10"/>
        <color theme="9" tint="-0.249977111117893"/>
        <rFont val="Arial"/>
        <family val="2"/>
      </rPr>
      <t>[5]</t>
    </r>
    <r>
      <rPr>
        <sz val="10"/>
        <color theme="9" tint="-0.249977111117893"/>
        <rFont val="宋体"/>
        <family val="3"/>
        <charset val="134"/>
      </rPr>
      <t>套办公用房</t>
    </r>
    <r>
      <rPr>
        <sz val="10"/>
        <color theme="9" tint="-0.249977111117893"/>
        <rFont val="Arial"/>
        <family val="2"/>
      </rPr>
      <t/>
    </r>
    <phoneticPr fontId="6" type="noConversion"/>
  </si>
  <si>
    <t>办公项目</t>
  </si>
  <si>
    <t>无</t>
  </si>
  <si>
    <t>否</t>
  </si>
  <si>
    <t>现房</t>
  </si>
  <si>
    <t>是</t>
  </si>
  <si>
    <t>地上</t>
  </si>
  <si>
    <t>办公</t>
    <phoneticPr fontId="7" type="noConversion"/>
  </si>
  <si>
    <t>成新度</t>
  </si>
  <si>
    <t>直线</t>
    <phoneticPr fontId="3" type="noConversion"/>
  </si>
  <si>
    <t>观察</t>
    <phoneticPr fontId="3" type="noConversion"/>
  </si>
  <si>
    <t>综合</t>
    <phoneticPr fontId="3" type="noConversion"/>
  </si>
  <si>
    <t>收益法 (元)</t>
  </si>
  <si>
    <t>押一</t>
  </si>
  <si>
    <t>钢混</t>
  </si>
  <si>
    <t>非生产用房</t>
  </si>
  <si>
    <t>楼面单价</t>
  </si>
  <si>
    <t>成本比率</t>
  </si>
  <si>
    <t>比较法-办公</t>
  </si>
  <si>
    <t>单套模式</t>
  </si>
  <si>
    <t>售价</t>
  </si>
  <si>
    <t>投资广场</t>
    <phoneticPr fontId="3" type="noConversion"/>
  </si>
  <si>
    <t>正常</t>
  </si>
  <si>
    <t>挂牌</t>
  </si>
  <si>
    <t>挂牌</t>
    <phoneticPr fontId="31" type="noConversion"/>
  </si>
  <si>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</si>
  <si>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</si>
  <si>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</si>
  <si>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</si>
  <si>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</si>
  <si>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</si>
  <si>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phoneticPr fontId="31" type="noConversion"/>
  </si>
  <si>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</si>
  <si>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</si>
  <si>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</si>
  <si>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</si>
  <si>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</si>
  <si>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</si>
  <si>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</si>
  <si>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</si>
  <si>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</si>
  <si>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</si>
  <si>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</si>
  <si>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</si>
  <si>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</si>
  <si>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</si>
  <si>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</si>
  <si>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</si>
  <si>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专业</t>
  </si>
  <si>
    <t>专业</t>
    <phoneticPr fontId="31" type="noConversion"/>
  </si>
  <si>
    <t>普通</t>
    <phoneticPr fontId="31" type="noConversion"/>
  </si>
  <si>
    <t>甲级</t>
    <phoneticPr fontId="31" type="noConversion"/>
  </si>
  <si>
    <t>较好</t>
  </si>
  <si>
    <t>情况4</t>
  </si>
  <si>
    <t>转让取得</t>
  </si>
  <si>
    <t>非个人房产</t>
  </si>
  <si>
    <t>购房发票</t>
  </si>
  <si>
    <t>2016年5月1日前购买</t>
  </si>
  <si>
    <t>建筑面积</t>
    <phoneticPr fontId="134" type="noConversion"/>
  </si>
  <si>
    <t>租赁面积</t>
    <phoneticPr fontId="134" type="noConversion"/>
  </si>
  <si>
    <t>起始日</t>
    <phoneticPr fontId="134" type="noConversion"/>
  </si>
  <si>
    <t>终止日</t>
    <phoneticPr fontId="134" type="noConversion"/>
  </si>
  <si>
    <t>日租金</t>
    <phoneticPr fontId="134" type="noConversion"/>
  </si>
  <si>
    <t>年租金</t>
    <phoneticPr fontId="134" type="noConversion"/>
  </si>
  <si>
    <t>月租金</t>
    <phoneticPr fontId="134" type="noConversion"/>
  </si>
  <si>
    <t>剩余租期内收益价值</t>
    <phoneticPr fontId="134" type="noConversion"/>
  </si>
  <si>
    <t>剩余租赁期</t>
    <phoneticPr fontId="134" type="noConversion"/>
  </si>
  <si>
    <t>反推日租金</t>
    <phoneticPr fontId="134" type="noConversion"/>
  </si>
  <si>
    <t>建成年代</t>
    <phoneticPr fontId="31" type="noConversion"/>
  </si>
  <si>
    <t>好</t>
  </si>
  <si>
    <t>七通</t>
  </si>
  <si>
    <t>富凯大厦</t>
    <phoneticPr fontId="3" type="noConversion"/>
  </si>
  <si>
    <t>中区</t>
  </si>
  <si>
    <t>2001-2004</t>
    <phoneticPr fontId="31" type="noConversion"/>
  </si>
  <si>
    <t>租金</t>
  </si>
  <si>
    <t>剩余租赁期</t>
    <phoneticPr fontId="3" type="noConversion"/>
  </si>
  <si>
    <t>租期内租金</t>
    <phoneticPr fontId="3" type="noConversion"/>
  </si>
  <si>
    <t>租期结束后的直线成新</t>
    <phoneticPr fontId="3" type="noConversion"/>
  </si>
  <si>
    <t>观察</t>
    <phoneticPr fontId="3" type="noConversion"/>
  </si>
  <si>
    <t>综合</t>
    <phoneticPr fontId="3" type="noConversion"/>
  </si>
  <si>
    <r>
      <rPr>
        <sz val="11"/>
        <color indexed="8"/>
        <rFont val="宋体"/>
        <family val="3"/>
        <charset val="134"/>
      </rPr>
      <t>租金</t>
    </r>
    <r>
      <rPr>
        <sz val="11"/>
        <color indexed="8"/>
        <rFont val="Arial"/>
        <family val="2"/>
      </rPr>
      <t>7-11</t>
    </r>
    <r>
      <rPr>
        <sz val="11"/>
        <color indexed="8"/>
        <rFont val="宋体"/>
        <family val="3"/>
        <charset val="134"/>
      </rPr>
      <t>块</t>
    </r>
    <phoneticPr fontId="31" type="noConversion"/>
  </si>
  <si>
    <t>富凯大厦</t>
    <phoneticPr fontId="134" type="noConversion"/>
  </si>
  <si>
    <r>
      <t>还有套月坛大厦，2</t>
    </r>
    <r>
      <rPr>
        <sz val="11"/>
        <color theme="1"/>
        <rFont val="宋体"/>
        <family val="3"/>
        <charset val="134"/>
        <scheme val="minor"/>
      </rPr>
      <t>400平低楼层，现状空置，报价65000元</t>
    </r>
    <phoneticPr fontId="134" type="noConversion"/>
  </si>
  <si>
    <t>远洋大厦，有租户，低层，报价70000，中介电话18400844918</t>
    <phoneticPr fontId="134" type="noConversion"/>
  </si>
  <si>
    <r>
      <t>中介电话1</t>
    </r>
    <r>
      <rPr>
        <sz val="11"/>
        <color theme="1"/>
        <rFont val="宋体"/>
        <family val="3"/>
        <charset val="134"/>
        <scheme val="minor"/>
      </rPr>
      <t>8400858801</t>
    </r>
    <phoneticPr fontId="134" type="noConversion"/>
  </si>
  <si>
    <t>远洋大厦</t>
    <phoneticPr fontId="3" type="noConversion"/>
  </si>
  <si>
    <t>长安兴融中心</t>
    <phoneticPr fontId="31" type="noConversion"/>
  </si>
  <si>
    <t>2004-2006</t>
    <phoneticPr fontId="31" type="noConversion"/>
  </si>
  <si>
    <t>普通装修</t>
  </si>
  <si>
    <t>通泰大厦</t>
    <phoneticPr fontId="134" type="noConversion"/>
  </si>
  <si>
    <t>远洋大厦</t>
    <phoneticPr fontId="134" type="noConversion"/>
  </si>
  <si>
    <r>
      <rPr>
        <sz val="11"/>
        <color indexed="8"/>
        <rFont val="宋体"/>
        <family val="3"/>
        <charset val="134"/>
      </rPr>
      <t>租金6</t>
    </r>
    <r>
      <rPr>
        <sz val="11"/>
        <color indexed="8"/>
        <rFont val="Arial"/>
        <family val="2"/>
      </rPr>
      <t>-8</t>
    </r>
    <r>
      <rPr>
        <sz val="11"/>
        <color indexed="8"/>
        <rFont val="宋体"/>
        <family val="3"/>
        <charset val="134"/>
      </rPr>
      <t>块</t>
    </r>
    <phoneticPr fontId="31" type="noConversion"/>
  </si>
  <si>
    <r>
      <rPr>
        <sz val="11"/>
        <color indexed="8"/>
        <rFont val="宋体"/>
        <family val="3"/>
        <charset val="134"/>
      </rPr>
      <t>租金</t>
    </r>
    <r>
      <rPr>
        <sz val="11"/>
        <color indexed="8"/>
        <rFont val="Arial"/>
        <family val="2"/>
      </rPr>
      <t>8-18</t>
    </r>
    <r>
      <rPr>
        <sz val="11"/>
        <color indexed="8"/>
        <rFont val="宋体"/>
        <family val="3"/>
        <charset val="134"/>
      </rPr>
      <t>块</t>
    </r>
    <phoneticPr fontId="31" type="noConversion"/>
  </si>
  <si>
    <t>建筑面积</t>
  </si>
  <si>
    <t>分摊土地面积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</si>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</sst>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53" fillId="0" borderId="1" xfId="0"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14" fontId="272" fillId="0" borderId="0" xfId="0" applyNumberFormat="1" applyFont="1" applyAlignment="1">
      <alignment horizontal="left" vertical="center"/>
    </xf>
    <xf numFmtId="0" fontId="159" fillId="0" borderId="0" xfId="12"/>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5" xfId="0"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113" fillId="7" borderId="0" xfId="0" applyFont="1" applyFill="1" applyProtection="1">
      <alignment vertical="center"/>
      <protection locked="0"/>
    </xf>
    <xf numFmtId="0" fontId="95" fillId="0" borderId="0" xfId="0" applyFont="1">
      <alignment vertical="center"/>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9"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665981</xdr:colOff>
      <xdr:row>34</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6152381" cy="5809524"/>
        </a:xfrm>
        <a:prstGeom prst="rect">
          <a:avLst/>
        </a:prstGeom>
      </xdr:spPr>
    </xdr:pic>
    <xdr:clientData/>
  </xdr:twoCellAnchor>
  <xdr:twoCellAnchor editAs="oneCell">
    <xdr:from>
      <xdr:col>0</xdr:col>
      <xdr:colOff>0</xdr:colOff>
      <xdr:row>35</xdr:row>
      <xdr:rowOff>0</xdr:rowOff>
    </xdr:from>
    <xdr:to>
      <xdr:col>8</xdr:col>
      <xdr:colOff>465981</xdr:colOff>
      <xdr:row>69</xdr:row>
      <xdr:rowOff>8796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5952381" cy="5838096"/>
        </a:xfrm>
        <a:prstGeom prst="rect">
          <a:avLst/>
        </a:prstGeom>
      </xdr:spPr>
    </xdr:pic>
    <xdr:clientData/>
  </xdr:twoCellAnchor>
  <xdr:twoCellAnchor editAs="oneCell">
    <xdr:from>
      <xdr:col>0</xdr:col>
      <xdr:colOff>0</xdr:colOff>
      <xdr:row>71</xdr:row>
      <xdr:rowOff>0</xdr:rowOff>
    </xdr:from>
    <xdr:to>
      <xdr:col>9</xdr:col>
      <xdr:colOff>56372</xdr:colOff>
      <xdr:row>98</xdr:row>
      <xdr:rowOff>151803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6228572" cy="4780953"/>
        </a:xfrm>
        <a:prstGeom prst="rect">
          <a:avLst/>
        </a:prstGeom>
      </xdr:spPr>
    </xdr:pic>
    <xdr:clientData/>
  </xdr:twoCellAnchor>
  <xdr:twoCellAnchor editAs="oneCell">
    <xdr:from>
      <xdr:col>0</xdr:col>
      <xdr:colOff>0</xdr:colOff>
      <xdr:row>101</xdr:row>
      <xdr:rowOff>0</xdr:rowOff>
    </xdr:from>
    <xdr:to>
      <xdr:col>8</xdr:col>
      <xdr:colOff>485029</xdr:colOff>
      <xdr:row>135</xdr:row>
      <xdr:rowOff>37367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316450"/>
          <a:ext cx="5971429" cy="5866667"/>
        </a:xfrm>
        <a:prstGeom prst="rect">
          <a:avLst/>
        </a:prstGeom>
      </xdr:spPr>
    </xdr:pic>
    <xdr:clientData/>
  </xdr:twoCellAnchor>
  <xdr:twoCellAnchor editAs="oneCell">
    <xdr:from>
      <xdr:col>0</xdr:col>
      <xdr:colOff>0</xdr:colOff>
      <xdr:row>136</xdr:row>
      <xdr:rowOff>0</xdr:rowOff>
    </xdr:from>
    <xdr:to>
      <xdr:col>8</xdr:col>
      <xdr:colOff>656458</xdr:colOff>
      <xdr:row>169</xdr:row>
      <xdr:rowOff>85008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317200"/>
          <a:ext cx="6142858" cy="5742858"/>
        </a:xfrm>
        <a:prstGeom prst="rect">
          <a:avLst/>
        </a:prstGeom>
      </xdr:spPr>
    </xdr:pic>
    <xdr:clientData/>
  </xdr:twoCellAnchor>
  <xdr:twoCellAnchor editAs="oneCell">
    <xdr:from>
      <xdr:col>0</xdr:col>
      <xdr:colOff>0</xdr:colOff>
      <xdr:row>170</xdr:row>
      <xdr:rowOff>0</xdr:rowOff>
    </xdr:from>
    <xdr:to>
      <xdr:col>8</xdr:col>
      <xdr:colOff>532648</xdr:colOff>
      <xdr:row>203</xdr:row>
      <xdr:rowOff>104055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9146500"/>
          <a:ext cx="6019048" cy="5761905"/>
        </a:xfrm>
        <a:prstGeom prst="rect">
          <a:avLst/>
        </a:prstGeom>
      </xdr:spPr>
    </xdr:pic>
    <xdr:clientData/>
  </xdr:twoCellAnchor>
  <xdr:twoCellAnchor editAs="oneCell">
    <xdr:from>
      <xdr:col>0</xdr:col>
      <xdr:colOff>0</xdr:colOff>
      <xdr:row>205</xdr:row>
      <xdr:rowOff>0</xdr:rowOff>
    </xdr:from>
    <xdr:to>
      <xdr:col>9</xdr:col>
      <xdr:colOff>113515</xdr:colOff>
      <xdr:row>238</xdr:row>
      <xdr:rowOff>142150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147250"/>
          <a:ext cx="6285715" cy="5800000"/>
        </a:xfrm>
        <a:prstGeom prst="rect">
          <a:avLst/>
        </a:prstGeom>
      </xdr:spPr>
    </xdr:pic>
    <xdr:clientData/>
  </xdr:twoCellAnchor>
  <xdr:twoCellAnchor editAs="oneCell">
    <xdr:from>
      <xdr:col>0</xdr:col>
      <xdr:colOff>0</xdr:colOff>
      <xdr:row>240</xdr:row>
      <xdr:rowOff>0</xdr:rowOff>
    </xdr:from>
    <xdr:to>
      <xdr:col>8</xdr:col>
      <xdr:colOff>589791</xdr:colOff>
      <xdr:row>273</xdr:row>
      <xdr:rowOff>170722</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41148000"/>
          <a:ext cx="6076191" cy="5828572"/>
        </a:xfrm>
        <a:prstGeom prst="rect">
          <a:avLst/>
        </a:prstGeom>
      </xdr:spPr>
    </xdr:pic>
    <xdr:clientData/>
  </xdr:twoCellAnchor>
  <xdr:twoCellAnchor editAs="oneCell">
    <xdr:from>
      <xdr:col>0</xdr:col>
      <xdr:colOff>0</xdr:colOff>
      <xdr:row>275</xdr:row>
      <xdr:rowOff>0</xdr:rowOff>
    </xdr:from>
    <xdr:to>
      <xdr:col>8</xdr:col>
      <xdr:colOff>542172</xdr:colOff>
      <xdr:row>288</xdr:row>
      <xdr:rowOff>94960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47148750"/>
          <a:ext cx="6028572" cy="2323810"/>
        </a:xfrm>
        <a:prstGeom prst="rect">
          <a:avLst/>
        </a:prstGeom>
      </xdr:spPr>
    </xdr:pic>
    <xdr:clientData/>
  </xdr:twoCellAnchor>
  <xdr:twoCellAnchor editAs="oneCell">
    <xdr:from>
      <xdr:col>0</xdr:col>
      <xdr:colOff>0</xdr:colOff>
      <xdr:row>289</xdr:row>
      <xdr:rowOff>0</xdr:rowOff>
    </xdr:from>
    <xdr:to>
      <xdr:col>8</xdr:col>
      <xdr:colOff>570743</xdr:colOff>
      <xdr:row>316</xdr:row>
      <xdr:rowOff>27993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49549050"/>
          <a:ext cx="6057143" cy="4657143"/>
        </a:xfrm>
        <a:prstGeom prst="rect">
          <a:avLst/>
        </a:prstGeom>
      </xdr:spPr>
    </xdr:pic>
    <xdr:clientData/>
  </xdr:twoCellAnchor>
  <xdr:twoCellAnchor editAs="oneCell">
    <xdr:from>
      <xdr:col>0</xdr:col>
      <xdr:colOff>0</xdr:colOff>
      <xdr:row>317</xdr:row>
      <xdr:rowOff>0</xdr:rowOff>
    </xdr:from>
    <xdr:to>
      <xdr:col>8</xdr:col>
      <xdr:colOff>618362</xdr:colOff>
      <xdr:row>337</xdr:row>
      <xdr:rowOff>85286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54349650"/>
          <a:ext cx="6104762" cy="3514286"/>
        </a:xfrm>
        <a:prstGeom prst="rect">
          <a:avLst/>
        </a:prstGeom>
      </xdr:spPr>
    </xdr:pic>
    <xdr:clientData/>
  </xdr:twoCellAnchor>
  <xdr:twoCellAnchor editAs="oneCell">
    <xdr:from>
      <xdr:col>10</xdr:col>
      <xdr:colOff>19050</xdr:colOff>
      <xdr:row>130</xdr:row>
      <xdr:rowOff>28575</xdr:rowOff>
    </xdr:from>
    <xdr:to>
      <xdr:col>17</xdr:col>
      <xdr:colOff>675593</xdr:colOff>
      <xdr:row>160</xdr:row>
      <xdr:rowOff>132694</xdr:rowOff>
    </xdr:to>
    <xdr:pic>
      <xdr:nvPicPr>
        <xdr:cNvPr id="19" name="图片 18"/>
        <xdr:cNvPicPr>
          <a:picLocks noChangeAspect="1"/>
        </xdr:cNvPicPr>
      </xdr:nvPicPr>
      <xdr:blipFill>
        <a:blip xmlns:r="http://schemas.openxmlformats.org/officeDocument/2006/relationships" r:embed="rId12"/>
        <a:stretch>
          <a:fillRect/>
        </a:stretch>
      </xdr:blipFill>
      <xdr:spPr>
        <a:xfrm>
          <a:off x="6877050" y="22317075"/>
          <a:ext cx="5457143" cy="5247619"/>
        </a:xfrm>
        <a:prstGeom prst="rect">
          <a:avLst/>
        </a:prstGeom>
      </xdr:spPr>
    </xdr:pic>
    <xdr:clientData/>
  </xdr:twoCellAnchor>
  <xdr:twoCellAnchor editAs="oneCell">
    <xdr:from>
      <xdr:col>10</xdr:col>
      <xdr:colOff>0</xdr:colOff>
      <xdr:row>66</xdr:row>
      <xdr:rowOff>0</xdr:rowOff>
    </xdr:from>
    <xdr:to>
      <xdr:col>17</xdr:col>
      <xdr:colOff>666067</xdr:colOff>
      <xdr:row>96</xdr:row>
      <xdr:rowOff>170786</xdr:rowOff>
    </xdr:to>
    <xdr:pic>
      <xdr:nvPicPr>
        <xdr:cNvPr id="20" name="图片 19"/>
        <xdr:cNvPicPr>
          <a:picLocks noChangeAspect="1"/>
        </xdr:cNvPicPr>
      </xdr:nvPicPr>
      <xdr:blipFill>
        <a:blip xmlns:r="http://schemas.openxmlformats.org/officeDocument/2006/relationships" r:embed="rId13"/>
        <a:stretch>
          <a:fillRect/>
        </a:stretch>
      </xdr:blipFill>
      <xdr:spPr>
        <a:xfrm>
          <a:off x="6858000" y="11315700"/>
          <a:ext cx="5466667" cy="5314286"/>
        </a:xfrm>
        <a:prstGeom prst="rect">
          <a:avLst/>
        </a:prstGeom>
      </xdr:spPr>
    </xdr:pic>
    <xdr:clientData/>
  </xdr:twoCellAnchor>
  <xdr:twoCellAnchor editAs="oneCell">
    <xdr:from>
      <xdr:col>10</xdr:col>
      <xdr:colOff>0</xdr:colOff>
      <xdr:row>98</xdr:row>
      <xdr:rowOff>0</xdr:rowOff>
    </xdr:from>
    <xdr:to>
      <xdr:col>17</xdr:col>
      <xdr:colOff>627972</xdr:colOff>
      <xdr:row>128</xdr:row>
      <xdr:rowOff>113643</xdr:rowOff>
    </xdr:to>
    <xdr:pic>
      <xdr:nvPicPr>
        <xdr:cNvPr id="21" name="图片 20"/>
        <xdr:cNvPicPr>
          <a:picLocks noChangeAspect="1"/>
        </xdr:cNvPicPr>
      </xdr:nvPicPr>
      <xdr:blipFill>
        <a:blip xmlns:r="http://schemas.openxmlformats.org/officeDocument/2006/relationships" r:embed="rId14"/>
        <a:stretch>
          <a:fillRect/>
        </a:stretch>
      </xdr:blipFill>
      <xdr:spPr>
        <a:xfrm>
          <a:off x="6858000" y="16802100"/>
          <a:ext cx="5428572" cy="5257143"/>
        </a:xfrm>
        <a:prstGeom prst="rect">
          <a:avLst/>
        </a:prstGeom>
      </xdr:spPr>
    </xdr:pic>
    <xdr:clientData/>
  </xdr:twoCellAnchor>
  <xdr:twoCellAnchor editAs="oneCell">
    <xdr:from>
      <xdr:col>9</xdr:col>
      <xdr:colOff>219075</xdr:colOff>
      <xdr:row>0</xdr:row>
      <xdr:rowOff>129438</xdr:rowOff>
    </xdr:from>
    <xdr:to>
      <xdr:col>22</xdr:col>
      <xdr:colOff>27069</xdr:colOff>
      <xdr:row>21</xdr:row>
      <xdr:rowOff>132728</xdr:rowOff>
    </xdr:to>
    <xdr:pic>
      <xdr:nvPicPr>
        <xdr:cNvPr id="23" name="图片 22"/>
        <xdr:cNvPicPr>
          <a:picLocks noChangeAspect="1"/>
        </xdr:cNvPicPr>
      </xdr:nvPicPr>
      <xdr:blipFill>
        <a:blip xmlns:r="http://schemas.openxmlformats.org/officeDocument/2006/relationships" r:embed="rId15"/>
        <a:stretch>
          <a:fillRect/>
        </a:stretch>
      </xdr:blipFill>
      <xdr:spPr>
        <a:xfrm>
          <a:off x="6391275" y="129438"/>
          <a:ext cx="8723394" cy="3603740"/>
        </a:xfrm>
        <a:prstGeom prst="rect">
          <a:avLst/>
        </a:prstGeom>
      </xdr:spPr>
    </xdr:pic>
    <xdr:clientData/>
  </xdr:twoCellAnchor>
  <xdr:twoCellAnchor editAs="oneCell">
    <xdr:from>
      <xdr:col>9</xdr:col>
      <xdr:colOff>356411</xdr:colOff>
      <xdr:row>45</xdr:row>
      <xdr:rowOff>38100</xdr:rowOff>
    </xdr:from>
    <xdr:to>
      <xdr:col>20</xdr:col>
      <xdr:colOff>389044</xdr:colOff>
      <xdr:row>63</xdr:row>
      <xdr:rowOff>94636</xdr:rowOff>
    </xdr:to>
    <xdr:pic>
      <xdr:nvPicPr>
        <xdr:cNvPr id="9" name="图片 8"/>
        <xdr:cNvPicPr>
          <a:picLocks noChangeAspect="1"/>
        </xdr:cNvPicPr>
      </xdr:nvPicPr>
      <xdr:blipFill>
        <a:blip xmlns:r="http://schemas.openxmlformats.org/officeDocument/2006/relationships" r:embed="rId16"/>
        <a:stretch>
          <a:fillRect/>
        </a:stretch>
      </xdr:blipFill>
      <xdr:spPr>
        <a:xfrm>
          <a:off x="6528611" y="7753350"/>
          <a:ext cx="7576433" cy="3142636"/>
        </a:xfrm>
        <a:prstGeom prst="rect">
          <a:avLst/>
        </a:prstGeom>
      </xdr:spPr>
    </xdr:pic>
    <xdr:clientData/>
  </xdr:twoCellAnchor>
  <xdr:twoCellAnchor editAs="oneCell">
    <xdr:from>
      <xdr:col>9</xdr:col>
      <xdr:colOff>218822</xdr:colOff>
      <xdr:row>22</xdr:row>
      <xdr:rowOff>152399</xdr:rowOff>
    </xdr:from>
    <xdr:to>
      <xdr:col>21</xdr:col>
      <xdr:colOff>171449</xdr:colOff>
      <xdr:row>43</xdr:row>
      <xdr:rowOff>94010</xdr:rowOff>
    </xdr:to>
    <xdr:pic>
      <xdr:nvPicPr>
        <xdr:cNvPr id="15" name="图片 14"/>
        <xdr:cNvPicPr>
          <a:picLocks noChangeAspect="1"/>
        </xdr:cNvPicPr>
      </xdr:nvPicPr>
      <xdr:blipFill>
        <a:blip xmlns:r="http://schemas.openxmlformats.org/officeDocument/2006/relationships" r:embed="rId17"/>
        <a:stretch>
          <a:fillRect/>
        </a:stretch>
      </xdr:blipFill>
      <xdr:spPr>
        <a:xfrm>
          <a:off x="6391022" y="3924299"/>
          <a:ext cx="8182227" cy="35420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142875</xdr:colOff>
      <xdr:row>0</xdr:row>
      <xdr:rowOff>9525</xdr:rowOff>
    </xdr:from>
    <xdr:to>
      <xdr:col>27</xdr:col>
      <xdr:colOff>47625</xdr:colOff>
      <xdr:row>21</xdr:row>
      <xdr:rowOff>8284</xdr:rowOff>
    </xdr:to>
    <xdr:pic>
      <xdr:nvPicPr>
        <xdr:cNvPr id="3" name="图片 2"/>
        <xdr:cNvPicPr>
          <a:picLocks noChangeAspect="1"/>
        </xdr:cNvPicPr>
      </xdr:nvPicPr>
      <xdr:blipFill>
        <a:blip xmlns:r="http://schemas.openxmlformats.org/officeDocument/2006/relationships" r:embed="rId1"/>
        <a:stretch>
          <a:fillRect/>
        </a:stretch>
      </xdr:blipFill>
      <xdr:spPr>
        <a:xfrm>
          <a:off x="10429875" y="9525"/>
          <a:ext cx="8134350" cy="3599209"/>
        </a:xfrm>
        <a:prstGeom prst="rect">
          <a:avLst/>
        </a:prstGeom>
      </xdr:spPr>
    </xdr:pic>
    <xdr:clientData/>
  </xdr:twoCellAnchor>
  <xdr:twoCellAnchor editAs="oneCell">
    <xdr:from>
      <xdr:col>0</xdr:col>
      <xdr:colOff>0</xdr:colOff>
      <xdr:row>24</xdr:row>
      <xdr:rowOff>0</xdr:rowOff>
    </xdr:from>
    <xdr:to>
      <xdr:col>12</xdr:col>
      <xdr:colOff>674283</xdr:colOff>
      <xdr:row>50</xdr:row>
      <xdr:rowOff>28575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114800"/>
          <a:ext cx="8903883" cy="4486275"/>
        </a:xfrm>
        <a:prstGeom prst="rect">
          <a:avLst/>
        </a:prstGeom>
      </xdr:spPr>
    </xdr:pic>
    <xdr:clientData/>
  </xdr:twoCellAnchor>
  <xdr:twoCellAnchor editAs="oneCell">
    <xdr:from>
      <xdr:col>0</xdr:col>
      <xdr:colOff>0</xdr:colOff>
      <xdr:row>51</xdr:row>
      <xdr:rowOff>9525</xdr:rowOff>
    </xdr:from>
    <xdr:to>
      <xdr:col>12</xdr:col>
      <xdr:colOff>628650</xdr:colOff>
      <xdr:row>75</xdr:row>
      <xdr:rowOff>38100</xdr:rowOff>
    </xdr:to>
    <xdr:pic>
      <xdr:nvPicPr>
        <xdr:cNvPr id="6" name="图片 5"/>
        <xdr:cNvPicPr>
          <a:picLocks noChangeAspect="1"/>
        </xdr:cNvPicPr>
      </xdr:nvPicPr>
      <xdr:blipFill>
        <a:blip xmlns:r="http://schemas.openxmlformats.org/officeDocument/2006/relationships" r:embed="rId3"/>
        <a:stretch>
          <a:fillRect/>
        </a:stretch>
      </xdr:blipFill>
      <xdr:spPr>
        <a:xfrm>
          <a:off x="0" y="8753475"/>
          <a:ext cx="8858250" cy="4143375"/>
        </a:xfrm>
        <a:prstGeom prst="rect">
          <a:avLst/>
        </a:prstGeom>
      </xdr:spPr>
    </xdr:pic>
    <xdr:clientData/>
  </xdr:twoCellAnchor>
  <xdr:twoCellAnchor editAs="oneCell">
    <xdr:from>
      <xdr:col>0</xdr:col>
      <xdr:colOff>0</xdr:colOff>
      <xdr:row>78</xdr:row>
      <xdr:rowOff>0</xdr:rowOff>
    </xdr:from>
    <xdr:to>
      <xdr:col>12</xdr:col>
      <xdr:colOff>273451</xdr:colOff>
      <xdr:row>103</xdr:row>
      <xdr:rowOff>66675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3373100"/>
          <a:ext cx="8503051" cy="4352925"/>
        </a:xfrm>
        <a:prstGeom prst="rect">
          <a:avLst/>
        </a:prstGeom>
      </xdr:spPr>
    </xdr:pic>
    <xdr:clientData/>
  </xdr:twoCellAnchor>
  <xdr:twoCellAnchor editAs="oneCell">
    <xdr:from>
      <xdr:col>0</xdr:col>
      <xdr:colOff>0</xdr:colOff>
      <xdr:row>105</xdr:row>
      <xdr:rowOff>0</xdr:rowOff>
    </xdr:from>
    <xdr:to>
      <xdr:col>11</xdr:col>
      <xdr:colOff>485775</xdr:colOff>
      <xdr:row>126</xdr:row>
      <xdr:rowOff>135019</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8002250"/>
          <a:ext cx="8029575" cy="3735469"/>
        </a:xfrm>
        <a:prstGeom prst="rect">
          <a:avLst/>
        </a:prstGeom>
      </xdr:spPr>
    </xdr:pic>
    <xdr:clientData/>
  </xdr:twoCellAnchor>
  <xdr:twoCellAnchor editAs="oneCell">
    <xdr:from>
      <xdr:col>0</xdr:col>
      <xdr:colOff>0</xdr:colOff>
      <xdr:row>129</xdr:row>
      <xdr:rowOff>0</xdr:rowOff>
    </xdr:from>
    <xdr:to>
      <xdr:col>12</xdr:col>
      <xdr:colOff>218020</xdr:colOff>
      <xdr:row>161</xdr:row>
      <xdr:rowOff>161219</xdr:rowOff>
    </xdr:to>
    <xdr:pic>
      <xdr:nvPicPr>
        <xdr:cNvPr id="9" name="图片 8"/>
        <xdr:cNvPicPr>
          <a:picLocks noChangeAspect="1"/>
        </xdr:cNvPicPr>
      </xdr:nvPicPr>
      <xdr:blipFill>
        <a:blip xmlns:r="http://schemas.openxmlformats.org/officeDocument/2006/relationships" r:embed="rId6"/>
        <a:stretch>
          <a:fillRect/>
        </a:stretch>
      </xdr:blipFill>
      <xdr:spPr>
        <a:xfrm>
          <a:off x="0" y="22117050"/>
          <a:ext cx="8447620" cy="5647619"/>
        </a:xfrm>
        <a:prstGeom prst="rect">
          <a:avLst/>
        </a:prstGeom>
      </xdr:spPr>
    </xdr:pic>
    <xdr:clientData/>
  </xdr:twoCellAnchor>
  <xdr:twoCellAnchor editAs="oneCell">
    <xdr:from>
      <xdr:col>0</xdr:col>
      <xdr:colOff>0</xdr:colOff>
      <xdr:row>163</xdr:row>
      <xdr:rowOff>0</xdr:rowOff>
    </xdr:from>
    <xdr:to>
      <xdr:col>13</xdr:col>
      <xdr:colOff>38100</xdr:colOff>
      <xdr:row>186</xdr:row>
      <xdr:rowOff>4997</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27946350"/>
          <a:ext cx="8953500" cy="3948347"/>
        </a:xfrm>
        <a:prstGeom prst="rect">
          <a:avLst/>
        </a:prstGeom>
      </xdr:spPr>
    </xdr:pic>
    <xdr:clientData/>
  </xdr:twoCellAnchor>
  <xdr:twoCellAnchor editAs="oneCell">
    <xdr:from>
      <xdr:col>0</xdr:col>
      <xdr:colOff>0</xdr:colOff>
      <xdr:row>0</xdr:row>
      <xdr:rowOff>76200</xdr:rowOff>
    </xdr:from>
    <xdr:to>
      <xdr:col>10</xdr:col>
      <xdr:colOff>454856</xdr:colOff>
      <xdr:row>22</xdr:row>
      <xdr:rowOff>18360</xdr:rowOff>
    </xdr:to>
    <xdr:pic>
      <xdr:nvPicPr>
        <xdr:cNvPr id="2" name="图片 1"/>
        <xdr:cNvPicPr>
          <a:picLocks noChangeAspect="1"/>
        </xdr:cNvPicPr>
      </xdr:nvPicPr>
      <xdr:blipFill>
        <a:blip xmlns:r="http://schemas.openxmlformats.org/officeDocument/2006/relationships" r:embed="rId8"/>
        <a:stretch>
          <a:fillRect/>
        </a:stretch>
      </xdr:blipFill>
      <xdr:spPr>
        <a:xfrm>
          <a:off x="0" y="76200"/>
          <a:ext cx="7312856" cy="3714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228600</xdr:colOff>
      <xdr:row>35</xdr:row>
      <xdr:rowOff>152400</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52463700"/>
          <a:ext cx="11887200" cy="5638800"/>
        </a:xfrm>
        <a:prstGeom prst="rect">
          <a:avLst/>
        </a:prstGeom>
      </xdr:spPr>
    </xdr:pic>
    <xdr:clientData/>
  </xdr:twoCellAnchor>
  <xdr:twoCellAnchor editAs="oneCell">
    <xdr:from>
      <xdr:col>0</xdr:col>
      <xdr:colOff>0</xdr:colOff>
      <xdr:row>36</xdr:row>
      <xdr:rowOff>0</xdr:rowOff>
    </xdr:from>
    <xdr:to>
      <xdr:col>17</xdr:col>
      <xdr:colOff>238125</xdr:colOff>
      <xdr:row>49</xdr:row>
      <xdr:rowOff>85725</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8121550"/>
          <a:ext cx="11896725" cy="2314575"/>
        </a:xfrm>
        <a:prstGeom prst="rect">
          <a:avLst/>
        </a:prstGeom>
      </xdr:spPr>
    </xdr:pic>
    <xdr:clientData/>
  </xdr:twoCellAnchor>
  <xdr:twoCellAnchor editAs="oneCell">
    <xdr:from>
      <xdr:col>0</xdr:col>
      <xdr:colOff>0</xdr:colOff>
      <xdr:row>50</xdr:row>
      <xdr:rowOff>0</xdr:rowOff>
    </xdr:from>
    <xdr:to>
      <xdr:col>18</xdr:col>
      <xdr:colOff>0</xdr:colOff>
      <xdr:row>90</xdr:row>
      <xdr:rowOff>161925</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60521850"/>
          <a:ext cx="12344400" cy="7019925"/>
        </a:xfrm>
        <a:prstGeom prst="rect">
          <a:avLst/>
        </a:prstGeom>
      </xdr:spPr>
    </xdr:pic>
    <xdr:clientData/>
  </xdr:twoCellAnchor>
  <xdr:twoCellAnchor editAs="oneCell">
    <xdr:from>
      <xdr:col>0</xdr:col>
      <xdr:colOff>0</xdr:colOff>
      <xdr:row>91</xdr:row>
      <xdr:rowOff>0</xdr:rowOff>
    </xdr:from>
    <xdr:to>
      <xdr:col>17</xdr:col>
      <xdr:colOff>638175</xdr:colOff>
      <xdr:row>131</xdr:row>
      <xdr:rowOff>133350</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67551300"/>
          <a:ext cx="12296775" cy="6991350"/>
        </a:xfrm>
        <a:prstGeom prst="rect">
          <a:avLst/>
        </a:prstGeom>
      </xdr:spPr>
    </xdr:pic>
    <xdr:clientData/>
  </xdr:twoCellAnchor>
  <xdr:twoCellAnchor editAs="oneCell">
    <xdr:from>
      <xdr:col>0</xdr:col>
      <xdr:colOff>0</xdr:colOff>
      <xdr:row>134</xdr:row>
      <xdr:rowOff>0</xdr:rowOff>
    </xdr:from>
    <xdr:to>
      <xdr:col>15</xdr:col>
      <xdr:colOff>466725</xdr:colOff>
      <xdr:row>167</xdr:row>
      <xdr:rowOff>57150</xdr:rowOff>
    </xdr:to>
    <xdr:pic>
      <xdr:nvPicPr>
        <xdr:cNvPr id="15" name="图片 14"/>
        <xdr:cNvPicPr>
          <a:picLocks noChangeAspect="1"/>
        </xdr:cNvPicPr>
      </xdr:nvPicPr>
      <xdr:blipFill>
        <a:blip xmlns:r="http://schemas.openxmlformats.org/officeDocument/2006/relationships" r:embed="rId5"/>
        <a:stretch>
          <a:fillRect/>
        </a:stretch>
      </xdr:blipFill>
      <xdr:spPr>
        <a:xfrm>
          <a:off x="0" y="74923650"/>
          <a:ext cx="10753725" cy="5715000"/>
        </a:xfrm>
        <a:prstGeom prst="rect">
          <a:avLst/>
        </a:prstGeom>
      </xdr:spPr>
    </xdr:pic>
    <xdr:clientData/>
  </xdr:twoCellAnchor>
  <xdr:twoCellAnchor editAs="oneCell">
    <xdr:from>
      <xdr:col>0</xdr:col>
      <xdr:colOff>0</xdr:colOff>
      <xdr:row>168</xdr:row>
      <xdr:rowOff>0</xdr:rowOff>
    </xdr:from>
    <xdr:to>
      <xdr:col>17</xdr:col>
      <xdr:colOff>228600</xdr:colOff>
      <xdr:row>183</xdr:row>
      <xdr:rowOff>0</xdr:rowOff>
    </xdr:to>
    <xdr:pic>
      <xdr:nvPicPr>
        <xdr:cNvPr id="16" name="图片 15"/>
        <xdr:cNvPicPr>
          <a:picLocks noChangeAspect="1"/>
        </xdr:cNvPicPr>
      </xdr:nvPicPr>
      <xdr:blipFill>
        <a:blip xmlns:r="http://schemas.openxmlformats.org/officeDocument/2006/relationships" r:embed="rId6"/>
        <a:stretch>
          <a:fillRect/>
        </a:stretch>
      </xdr:blipFill>
      <xdr:spPr>
        <a:xfrm>
          <a:off x="0" y="80752950"/>
          <a:ext cx="11887200" cy="2571750"/>
        </a:xfrm>
        <a:prstGeom prst="rect">
          <a:avLst/>
        </a:prstGeom>
      </xdr:spPr>
    </xdr:pic>
    <xdr:clientData/>
  </xdr:twoCellAnchor>
  <xdr:twoCellAnchor editAs="oneCell">
    <xdr:from>
      <xdr:col>0</xdr:col>
      <xdr:colOff>0</xdr:colOff>
      <xdr:row>183</xdr:row>
      <xdr:rowOff>0</xdr:rowOff>
    </xdr:from>
    <xdr:to>
      <xdr:col>18</xdr:col>
      <xdr:colOff>9525</xdr:colOff>
      <xdr:row>223</xdr:row>
      <xdr:rowOff>85725</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83324700"/>
          <a:ext cx="12353925" cy="6943725"/>
        </a:xfrm>
        <a:prstGeom prst="rect">
          <a:avLst/>
        </a:prstGeom>
      </xdr:spPr>
    </xdr:pic>
    <xdr:clientData/>
  </xdr:twoCellAnchor>
  <xdr:twoCellAnchor editAs="oneCell">
    <xdr:from>
      <xdr:col>0</xdr:col>
      <xdr:colOff>0</xdr:colOff>
      <xdr:row>225</xdr:row>
      <xdr:rowOff>0</xdr:rowOff>
    </xdr:from>
    <xdr:to>
      <xdr:col>17</xdr:col>
      <xdr:colOff>571500</xdr:colOff>
      <xdr:row>265</xdr:row>
      <xdr:rowOff>0</xdr:rowOff>
    </xdr:to>
    <xdr:pic>
      <xdr:nvPicPr>
        <xdr:cNvPr id="18" name="图片 17"/>
        <xdr:cNvPicPr>
          <a:picLocks noChangeAspect="1"/>
        </xdr:cNvPicPr>
      </xdr:nvPicPr>
      <xdr:blipFill>
        <a:blip xmlns:r="http://schemas.openxmlformats.org/officeDocument/2006/relationships" r:embed="rId8"/>
        <a:stretch>
          <a:fillRect/>
        </a:stretch>
      </xdr:blipFill>
      <xdr:spPr>
        <a:xfrm>
          <a:off x="0" y="90525600"/>
          <a:ext cx="12230100" cy="6858000"/>
        </a:xfrm>
        <a:prstGeom prst="rect">
          <a:avLst/>
        </a:prstGeom>
      </xdr:spPr>
    </xdr:pic>
    <xdr:clientData/>
  </xdr:twoCellAnchor>
  <xdr:twoCellAnchor editAs="oneCell">
    <xdr:from>
      <xdr:col>0</xdr:col>
      <xdr:colOff>0</xdr:colOff>
      <xdr:row>266</xdr:row>
      <xdr:rowOff>0</xdr:rowOff>
    </xdr:from>
    <xdr:to>
      <xdr:col>18</xdr:col>
      <xdr:colOff>19050</xdr:colOff>
      <xdr:row>291</xdr:row>
      <xdr:rowOff>0</xdr:rowOff>
    </xdr:to>
    <xdr:pic>
      <xdr:nvPicPr>
        <xdr:cNvPr id="19" name="图片 18"/>
        <xdr:cNvPicPr>
          <a:picLocks noChangeAspect="1"/>
        </xdr:cNvPicPr>
      </xdr:nvPicPr>
      <xdr:blipFill>
        <a:blip xmlns:r="http://schemas.openxmlformats.org/officeDocument/2006/relationships" r:embed="rId9"/>
        <a:stretch>
          <a:fillRect/>
        </a:stretch>
      </xdr:blipFill>
      <xdr:spPr>
        <a:xfrm>
          <a:off x="0" y="97555050"/>
          <a:ext cx="12363450"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北京市西城区金融大街27号7层A座701等[5]套办公用房房地产抵押价值预评估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受贵公司委托，我公司对北京市西城区金融大街27号7层A座701等[5]套办公用房房地产抵押价值进行了预评估。</v>
      </c>
    </row>
    <row r="7" spans="1:2" s="1202" customFormat="1">
      <c r="A7" s="1200" t="s">
        <v>566</v>
      </c>
      <c r="B7" s="1201" t="str">
        <f>'预评函-1'!A7</f>
        <v>估价对象为北京市西城区金融大街27号7层A座701等[5]套办公用房房地产，为所有。根据《国有土地使用证》[]，估价对象（分摊）出让国有建设用地使用权面积为62.48平方米，建筑面积为571.24平方米。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西城区金融大街27号7层A座701等[5]套办公用房房地产,属开发建设的办公项目，该项目尚在开发建设中。根据《国有土地使用证》[]，估价对象（分摊）出让国有建设用地使用权面积为62.48平方米，规划建筑面积为571.24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西城区金融大街27号7层A座701等[5]套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2025年10月10日（评估专业人员实地查勘之日）</v>
      </c>
    </row>
    <row r="13" spans="1:2" s="1202" customFormat="1">
      <c r="A13" s="1200" t="s">
        <v>529</v>
      </c>
      <c r="B13" s="1201" t="str">
        <f>'预评函-1'!A18</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3209</v>
      </c>
    </row>
    <row r="21" spans="1:2" s="1202" customFormat="1">
      <c r="A21" s="1200" t="s">
        <v>537</v>
      </c>
      <c r="B21" s="1201">
        <f ca="1">'预评函-2'!D7</f>
        <v>56169</v>
      </c>
    </row>
    <row r="22" spans="1:2" s="1202" customFormat="1">
      <c r="A22" s="1200" t="s">
        <v>538</v>
      </c>
      <c r="B22" s="1201" t="str">
        <f ca="1">'预评函-2'!D6</f>
        <v>叁仟贰佰零玖万元整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3209</v>
      </c>
    </row>
    <row r="31" spans="1:2" s="1202" customFormat="1">
      <c r="A31" s="1200" t="s">
        <v>576</v>
      </c>
      <c r="B31" s="1201">
        <f ca="1">'预评函-2'!D15</f>
        <v>56169</v>
      </c>
    </row>
    <row r="32" spans="1:2" s="1202" customFormat="1">
      <c r="A32" s="1200" t="s">
        <v>543</v>
      </c>
      <c r="B32" s="1201" t="str">
        <f ca="1">'预评函-2'!D14</f>
        <v>叁仟贰佰零玖万元整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北京市西城区金融大街27号7层A座701等[5]套办公用房房地产</v>
      </c>
    </row>
    <row r="42" spans="1:2" s="1202" customFormat="1">
      <c r="A42" s="1200" t="s">
        <v>590</v>
      </c>
      <c r="B42" s="1201" t="str">
        <f>'预评函-3'!B2</f>
        <v>建筑面积</v>
      </c>
    </row>
    <row r="43" spans="1:2" s="1202" customFormat="1">
      <c r="A43" s="1200" t="s">
        <v>591</v>
      </c>
      <c r="B43" s="1201">
        <f>'预评函-3'!B4</f>
        <v>571.24</v>
      </c>
    </row>
    <row r="44" spans="1:2" s="1202" customFormat="1">
      <c r="A44" s="1200" t="s">
        <v>575</v>
      </c>
      <c r="B44" s="1201" t="str">
        <f>'预评函-3'!C2</f>
        <v>(分摊)土地面积</v>
      </c>
    </row>
    <row r="45" spans="1:2" s="1202" customFormat="1">
      <c r="A45" s="1200" t="s">
        <v>547</v>
      </c>
      <c r="B45" s="1201">
        <f>'预评函-3'!C4</f>
        <v>62.48</v>
      </c>
    </row>
    <row r="46" spans="1:2" s="1202" customFormat="1">
      <c r="A46" s="1200" t="s">
        <v>573</v>
      </c>
      <c r="B46" s="1201" t="str">
        <f>'预评函-3'!D2</f>
        <v>出让国有建设用地使用权价值</v>
      </c>
    </row>
    <row r="47" spans="1:2" s="1202" customFormat="1">
      <c r="A47" s="1200" t="s">
        <v>548</v>
      </c>
      <c r="B47" s="1201">
        <f ca="1">'预评函-3'!D4</f>
        <v>2455</v>
      </c>
    </row>
    <row r="48" spans="1:2" s="1202" customFormat="1">
      <c r="A48" s="1200" t="s">
        <v>549</v>
      </c>
      <c r="B48" s="1201">
        <f ca="1">'预评函-3'!E4</f>
        <v>42969</v>
      </c>
    </row>
    <row r="49" spans="1:2" s="1202" customFormat="1">
      <c r="A49" s="1200" t="s">
        <v>550</v>
      </c>
      <c r="B49" s="1201" t="str">
        <f ca="1">'预评函-3'!D5</f>
        <v>贰仟肆佰伍拾伍万元整</v>
      </c>
    </row>
    <row r="50" spans="1:2" s="1202" customFormat="1">
      <c r="A50" s="1200" t="s">
        <v>574</v>
      </c>
      <c r="B50" s="1201" t="str">
        <f>'预评函-3'!F2</f>
        <v>建筑物价值</v>
      </c>
    </row>
    <row r="51" spans="1:2" s="1202" customFormat="1">
      <c r="A51" s="1200" t="s">
        <v>551</v>
      </c>
      <c r="B51" s="1201">
        <f ca="1">'预评函-3'!F4</f>
        <v>754</v>
      </c>
    </row>
    <row r="52" spans="1:2" s="1202" customFormat="1">
      <c r="A52" s="1200" t="s">
        <v>552</v>
      </c>
      <c r="B52" s="1201">
        <f ca="1">'预评函-3'!G4</f>
        <v>13200</v>
      </c>
    </row>
    <row r="53" spans="1:2" s="1202" customFormat="1">
      <c r="A53" s="1200" t="s">
        <v>580</v>
      </c>
      <c r="B53" s="1201" t="str">
        <f ca="1">'预评函-3'!F5</f>
        <v>柒佰伍拾肆万元整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3401</v>
      </c>
      <c r="AA1" s="1541" t="s">
        <v>3400</v>
      </c>
      <c r="AB1" s="1541" t="s">
        <v>3</v>
      </c>
    </row>
    <row r="2" spans="1:28">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2435</v>
      </c>
      <c r="Y2" s="1550" t="s">
        <v>3408</v>
      </c>
      <c r="Z2" s="1550" t="s">
        <v>2448</v>
      </c>
      <c r="AA2" s="1550" t="s">
        <v>3409</v>
      </c>
      <c r="AB2" s="1550" t="s">
        <v>2475</v>
      </c>
    </row>
    <row r="3" spans="1:28">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2437</v>
      </c>
      <c r="Z3" s="1550" t="s">
        <v>2450</v>
      </c>
      <c r="AB3" s="1550" t="s">
        <v>2477</v>
      </c>
    </row>
    <row r="4" spans="1:28">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2439</v>
      </c>
      <c r="Z4" s="1550" t="s">
        <v>2452</v>
      </c>
      <c r="AB4" s="1550" t="s">
        <v>2479</v>
      </c>
    </row>
    <row r="5" spans="1:28">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2441</v>
      </c>
      <c r="Z5" s="1550" t="s">
        <v>2454</v>
      </c>
      <c r="AB5" s="1550" t="s">
        <v>3410</v>
      </c>
    </row>
    <row r="6" spans="1:28">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2443</v>
      </c>
      <c r="Z6" s="1550" t="s">
        <v>2456</v>
      </c>
      <c r="AB6" s="1550" t="s">
        <v>2482</v>
      </c>
    </row>
    <row r="7" spans="1:28">
      <c r="A7" s="1545" t="s">
        <v>1023</v>
      </c>
      <c r="B7" s="1548" t="s">
        <v>450</v>
      </c>
      <c r="C7" s="1546" t="s">
        <v>25</v>
      </c>
      <c r="F7" s="1547" t="s">
        <v>1024</v>
      </c>
      <c r="H7" s="1547" t="s">
        <v>1025</v>
      </c>
      <c r="I7" s="1547" t="s">
        <v>3336</v>
      </c>
      <c r="X7" s="1550" t="s">
        <v>2445</v>
      </c>
      <c r="Z7" s="1550" t="s">
        <v>2458</v>
      </c>
      <c r="AB7" s="1550" t="s">
        <v>2484</v>
      </c>
    </row>
    <row r="8" spans="1:28">
      <c r="A8" s="1545" t="s">
        <v>1026</v>
      </c>
      <c r="B8" s="1545" t="s">
        <v>1027</v>
      </c>
      <c r="C8" s="1546" t="s">
        <v>319</v>
      </c>
      <c r="F8" s="1547" t="s">
        <v>1028</v>
      </c>
      <c r="H8" s="1547" t="s">
        <v>2573</v>
      </c>
      <c r="I8" s="1547" t="s">
        <v>3337</v>
      </c>
      <c r="X8" s="1550" t="s">
        <v>3411</v>
      </c>
      <c r="Z8" s="1550" t="s">
        <v>2460</v>
      </c>
      <c r="AB8" s="1550" t="s">
        <v>2486</v>
      </c>
    </row>
    <row r="9" spans="1:28">
      <c r="A9" s="1545" t="s">
        <v>1029</v>
      </c>
      <c r="B9" s="1545" t="s">
        <v>1030</v>
      </c>
      <c r="C9" s="1546" t="s">
        <v>320</v>
      </c>
      <c r="F9" s="1547" t="s">
        <v>1031</v>
      </c>
      <c r="H9" s="1547"/>
      <c r="I9" s="1550" t="s">
        <v>3338</v>
      </c>
      <c r="X9" s="1550" t="s">
        <v>3412</v>
      </c>
      <c r="Z9" s="1550" t="s">
        <v>2462</v>
      </c>
      <c r="AB9" s="1550" t="s">
        <v>2488</v>
      </c>
    </row>
    <row r="10" spans="1:28">
      <c r="A10" s="1545" t="s">
        <v>1032</v>
      </c>
      <c r="B10" s="1545" t="s">
        <v>1033</v>
      </c>
      <c r="C10" s="1546" t="s">
        <v>321</v>
      </c>
      <c r="F10" s="1547" t="s">
        <v>2574</v>
      </c>
      <c r="I10" s="1550" t="s">
        <v>3339</v>
      </c>
      <c r="Z10" s="1550" t="s">
        <v>2464</v>
      </c>
      <c r="AB10" s="1550" t="s">
        <v>2490</v>
      </c>
    </row>
    <row r="11" spans="1:28">
      <c r="A11" s="1545" t="s">
        <v>1034</v>
      </c>
      <c r="B11" s="1545" t="s">
        <v>1035</v>
      </c>
      <c r="C11" s="1546" t="s">
        <v>322</v>
      </c>
      <c r="F11" s="1547" t="s">
        <v>13</v>
      </c>
      <c r="I11" s="1550" t="s">
        <v>3340</v>
      </c>
      <c r="Z11" s="1550" t="s">
        <v>2466</v>
      </c>
      <c r="AB11" s="1550" t="s">
        <v>2492</v>
      </c>
    </row>
    <row r="12" spans="1:28">
      <c r="A12" s="1545" t="s">
        <v>1036</v>
      </c>
      <c r="B12" s="1545" t="s">
        <v>1037</v>
      </c>
      <c r="C12" s="1546" t="s">
        <v>323</v>
      </c>
      <c r="I12" s="1550" t="s">
        <v>3341</v>
      </c>
      <c r="Z12" s="1550" t="s">
        <v>2468</v>
      </c>
      <c r="AB12" s="1550" t="s">
        <v>2494</v>
      </c>
    </row>
    <row r="13" spans="1:28">
      <c r="A13" s="1545" t="s">
        <v>1038</v>
      </c>
      <c r="B13" s="1545" t="s">
        <v>1039</v>
      </c>
      <c r="C13" s="1546" t="s">
        <v>324</v>
      </c>
      <c r="I13" s="1550" t="s">
        <v>3342</v>
      </c>
      <c r="Z13" s="1550" t="s">
        <v>2470</v>
      </c>
    </row>
    <row r="14" spans="1:28">
      <c r="A14" s="1545" t="s">
        <v>1040</v>
      </c>
      <c r="B14" s="1545" t="s">
        <v>1041</v>
      </c>
      <c r="C14" s="1547" t="s">
        <v>13</v>
      </c>
      <c r="I14" s="1550" t="s">
        <v>3343</v>
      </c>
      <c r="Z14" s="1550" t="s">
        <v>2472</v>
      </c>
    </row>
    <row r="15" spans="1:28">
      <c r="A15" s="1545" t="s">
        <v>1042</v>
      </c>
      <c r="B15" s="1545" t="s">
        <v>1043</v>
      </c>
      <c r="C15" s="1546"/>
      <c r="I15" s="1550" t="s">
        <v>3344</v>
      </c>
    </row>
    <row r="16" spans="1:28">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金融大街27号7层A座701等[5]套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3" t="s">
        <v>385</v>
      </c>
      <c r="C54" s="1550" t="s">
        <v>583</v>
      </c>
    </row>
    <row r="55" spans="1:4">
      <c r="A55" s="3540"/>
      <c r="B55" s="1553" t="s">
        <v>386</v>
      </c>
      <c r="C55" s="1550" t="s">
        <v>584</v>
      </c>
    </row>
    <row r="56" spans="1:4">
      <c r="A56" s="3540"/>
      <c r="B56" s="1553" t="s">
        <v>387</v>
      </c>
      <c r="C56" s="1550" t="s">
        <v>588</v>
      </c>
    </row>
    <row r="57" spans="1:4">
      <c r="A57" s="354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2496</v>
      </c>
      <c r="B1" s="3012"/>
      <c r="C1" s="3012"/>
      <c r="D1" s="3012"/>
      <c r="E1" s="3012"/>
      <c r="F1" s="3013"/>
      <c r="I1" s="3435" t="s">
        <v>2589</v>
      </c>
      <c r="J1" s="3224"/>
      <c r="K1" s="3224"/>
      <c r="L1" s="3224"/>
      <c r="M1" s="3224"/>
      <c r="N1" s="3436"/>
      <c r="O1" s="3436"/>
      <c r="P1" s="3436"/>
      <c r="Q1" s="3436"/>
      <c r="R1" s="3436"/>
    </row>
    <row r="2" spans="1:18">
      <c r="A2" s="3015"/>
      <c r="B2" s="3016"/>
      <c r="C2" s="3016"/>
      <c r="D2" s="3016"/>
      <c r="E2" s="3016"/>
      <c r="F2" s="3017"/>
      <c r="I2" s="3541" t="s">
        <v>2576</v>
      </c>
      <c r="J2" s="3541"/>
      <c r="K2" s="3541"/>
      <c r="L2" s="3541"/>
      <c r="M2" s="3541"/>
      <c r="N2" s="3541"/>
      <c r="O2" s="3541"/>
      <c r="P2" s="3541"/>
      <c r="Q2" s="3541"/>
      <c r="R2" s="3541"/>
    </row>
    <row r="3" spans="1:18">
      <c r="A3" s="3018" t="s">
        <v>2497</v>
      </c>
      <c r="B3" s="3019">
        <f>项目基本情况!D3</f>
        <v>45940</v>
      </c>
      <c r="C3" s="3021"/>
      <c r="D3" s="3021"/>
      <c r="E3" s="3021"/>
      <c r="F3" s="3017"/>
      <c r="I3" s="3437"/>
      <c r="J3" s="3437" t="s">
        <v>2580</v>
      </c>
      <c r="K3" s="3437" t="s">
        <v>2581</v>
      </c>
      <c r="L3" s="3437" t="s">
        <v>2582</v>
      </c>
      <c r="M3" s="3437" t="s">
        <v>2583</v>
      </c>
      <c r="N3" s="3438" t="s">
        <v>2584</v>
      </c>
      <c r="O3" s="3438" t="s">
        <v>2585</v>
      </c>
      <c r="P3" s="3438" t="s">
        <v>2586</v>
      </c>
      <c r="Q3" s="3438" t="s">
        <v>2587</v>
      </c>
      <c r="R3" s="3438" t="s">
        <v>2588</v>
      </c>
    </row>
    <row r="4" spans="1:18">
      <c r="A4" s="3018" t="s">
        <v>2498</v>
      </c>
      <c r="B4" s="3021" t="s">
        <v>2499</v>
      </c>
      <c r="C4" s="3021" t="s">
        <v>2500</v>
      </c>
      <c r="D4" s="3021" t="s">
        <v>2501</v>
      </c>
      <c r="E4" s="3021" t="s">
        <v>2502</v>
      </c>
      <c r="F4" s="3017"/>
      <c r="I4" s="3437" t="s">
        <v>2577</v>
      </c>
      <c r="J4" s="3437">
        <v>80</v>
      </c>
      <c r="K4" s="3437">
        <v>70</v>
      </c>
      <c r="L4" s="3437">
        <v>20</v>
      </c>
      <c r="M4" s="3437">
        <v>30</v>
      </c>
      <c r="N4" s="3021">
        <v>45</v>
      </c>
      <c r="O4" s="3021">
        <v>60</v>
      </c>
      <c r="P4" s="3021">
        <v>50</v>
      </c>
      <c r="Q4" s="3021">
        <v>20</v>
      </c>
      <c r="R4" s="3021">
        <v>375</v>
      </c>
    </row>
    <row r="5" spans="1:18">
      <c r="A5" s="3022">
        <v>40</v>
      </c>
      <c r="B5" s="3019">
        <v>46375</v>
      </c>
      <c r="C5" s="3021">
        <f>ROUNDDOWN(MIN((B5-B3)/365,A5),2)</f>
        <v>1.19</v>
      </c>
      <c r="D5" s="3023">
        <f>IF(ISERROR(ROUND(POWER(1+E5,A5-C5)*(POWER(1+E5,C5)-1)/(POWER(1+E5,A5)-1),3)),0,ROUND(POWER(1+E5,A5-C5)*(POWER(1+E5,C5)-1)/(POWER(1+E5,A5)-1),4))</f>
        <v>5.7599999999999998E-2</v>
      </c>
      <c r="E5" s="3024">
        <v>0.04</v>
      </c>
      <c r="F5" s="3017"/>
      <c r="I5" s="3437" t="s">
        <v>2578</v>
      </c>
      <c r="J5" s="3437">
        <v>70</v>
      </c>
      <c r="K5" s="3437">
        <v>60</v>
      </c>
      <c r="L5" s="3437">
        <v>15</v>
      </c>
      <c r="M5" s="3437">
        <v>25</v>
      </c>
      <c r="N5" s="3021">
        <v>40</v>
      </c>
      <c r="O5" s="3021">
        <v>50</v>
      </c>
      <c r="P5" s="3021">
        <v>40</v>
      </c>
      <c r="Q5" s="3021">
        <v>15</v>
      </c>
      <c r="R5" s="3021">
        <v>315</v>
      </c>
    </row>
    <row r="6" spans="1:18">
      <c r="A6" s="3022">
        <v>50</v>
      </c>
      <c r="B6" s="3019">
        <v>50028</v>
      </c>
      <c r="C6" s="3021">
        <f>ROUNDDOWN(MIN((B6-B3)/365,A6),2)</f>
        <v>11.2</v>
      </c>
      <c r="D6" s="3023">
        <f>IF(ISERROR(ROUND(POWER(1+E6,A6-C6)*(POWER(1+E6,C6)-1)/(POWER(1+E6,A6)-1),3)),0,ROUND(POWER(1+E6,A6-C6)*(POWER(1+E6,C6)-1)/(POWER(1+E6,A6)-1),4))</f>
        <v>0.41370000000000001</v>
      </c>
      <c r="E6" s="3024">
        <v>0.04</v>
      </c>
      <c r="F6" s="3017"/>
      <c r="I6" s="3437" t="s">
        <v>2579</v>
      </c>
      <c r="J6" s="3437">
        <v>60</v>
      </c>
      <c r="K6" s="3437">
        <v>50</v>
      </c>
      <c r="L6" s="3437">
        <v>10</v>
      </c>
      <c r="M6" s="3437">
        <v>20</v>
      </c>
      <c r="N6" s="3021">
        <v>35</v>
      </c>
      <c r="O6" s="3021">
        <v>40</v>
      </c>
      <c r="P6" s="3021">
        <v>30</v>
      </c>
      <c r="Q6" s="3021">
        <v>10</v>
      </c>
      <c r="R6" s="3021">
        <v>255</v>
      </c>
    </row>
    <row r="7" spans="1:18">
      <c r="A7" s="3022">
        <v>70</v>
      </c>
      <c r="B7" s="3019">
        <v>57333</v>
      </c>
      <c r="C7" s="3021">
        <f>ROUNDDOWN(MIN((B7-B3)/365,A7),2)</f>
        <v>31.21</v>
      </c>
      <c r="D7" s="3023">
        <f>IF(ISERROR(ROUND(POWER(1+E7,A7-C7)*(POWER(1+E7,C7)-1)/(POWER(1+E7,A7)-1),3)),0,ROUND(POWER(1+E7,A7-C7)*(POWER(1+E7,C7)-1)/(POWER(1+E7,A7)-1),4))</f>
        <v>0.75439999999999996</v>
      </c>
      <c r="E7" s="3024">
        <v>0.04</v>
      </c>
      <c r="F7" s="3017"/>
    </row>
    <row r="8" spans="1:18">
      <c r="A8" s="3015"/>
      <c r="B8" s="3016"/>
      <c r="C8" s="3016"/>
      <c r="D8" s="3016"/>
      <c r="E8" s="3016"/>
      <c r="F8" s="3017"/>
    </row>
    <row r="9" spans="1:18">
      <c r="A9" s="3018" t="s">
        <v>2503</v>
      </c>
      <c r="B9" s="3021"/>
      <c r="C9" s="3021"/>
      <c r="D9" s="3021"/>
      <c r="E9" s="3021"/>
      <c r="F9" s="3025"/>
    </row>
    <row r="10" spans="1:18">
      <c r="A10" s="3018" t="s">
        <v>2504</v>
      </c>
      <c r="B10" s="3021"/>
      <c r="C10" s="3021"/>
      <c r="D10" s="3021" t="s">
        <v>2502</v>
      </c>
      <c r="E10" s="3021"/>
      <c r="F10" s="3025" t="s">
        <v>2501</v>
      </c>
    </row>
    <row r="11" spans="1:18">
      <c r="A11" s="3018" t="s">
        <v>2505</v>
      </c>
      <c r="B11" s="3026">
        <v>70</v>
      </c>
      <c r="C11" s="3021" t="s">
        <v>2506</v>
      </c>
      <c r="D11" s="3027">
        <v>4.4999999999999998E-2</v>
      </c>
      <c r="E11" s="3021" t="s">
        <v>2507</v>
      </c>
      <c r="F11" s="3028">
        <f>ROUND(1-(1/(POWER(1+D11,B11))),4)</f>
        <v>0.95409999999999995</v>
      </c>
    </row>
    <row r="12" spans="1:18">
      <c r="A12" s="3018" t="s">
        <v>2508</v>
      </c>
      <c r="B12" s="3026">
        <v>40</v>
      </c>
      <c r="C12" s="3021" t="s">
        <v>2509</v>
      </c>
      <c r="D12" s="3027">
        <v>4.4999999999999998E-2</v>
      </c>
      <c r="E12" s="3021" t="s">
        <v>2510</v>
      </c>
      <c r="F12" s="3028">
        <f>ROUND(1-(1/(POWER(1+D12,B12))),4)</f>
        <v>0.82809999999999995</v>
      </c>
    </row>
    <row r="13" spans="1:18">
      <c r="A13" s="3018" t="s">
        <v>2511</v>
      </c>
      <c r="B13" s="3021"/>
      <c r="C13" s="3021"/>
      <c r="D13" s="3016"/>
      <c r="E13" s="3016"/>
      <c r="F13" s="3017"/>
    </row>
    <row r="14" spans="1:18">
      <c r="A14" s="3018" t="s">
        <v>2512</v>
      </c>
      <c r="B14" s="3026">
        <v>5000</v>
      </c>
      <c r="C14" s="3020"/>
      <c r="D14" s="3016"/>
      <c r="E14" s="3016"/>
      <c r="F14" s="3017"/>
    </row>
    <row r="15" spans="1:18">
      <c r="A15" s="3018" t="s">
        <v>2513</v>
      </c>
      <c r="B15" s="3021">
        <f>ROUND(B14*F12/F11,2)</f>
        <v>4339.6899999999996</v>
      </c>
      <c r="C15" s="3021">
        <f>ROUND(F12/F11,4)</f>
        <v>0.8679</v>
      </c>
      <c r="D15" s="3016"/>
      <c r="E15" s="3016"/>
      <c r="F15" s="3017"/>
    </row>
    <row r="16" spans="1:18">
      <c r="A16" s="3018" t="s">
        <v>2514</v>
      </c>
      <c r="B16" s="3021"/>
      <c r="C16" s="3021"/>
      <c r="D16" s="3016"/>
      <c r="E16" s="3016"/>
      <c r="F16" s="3017"/>
    </row>
    <row r="17" spans="1:14">
      <c r="A17" s="3018" t="s">
        <v>2513</v>
      </c>
      <c r="B17" s="3027">
        <v>4810</v>
      </c>
      <c r="C17" s="3020"/>
      <c r="D17" s="3016"/>
      <c r="E17" s="3016"/>
      <c r="F17" s="3017"/>
    </row>
    <row r="18" spans="1:14" ht="14.25" thickBot="1">
      <c r="A18" s="3029" t="s">
        <v>2512</v>
      </c>
      <c r="B18" s="3030">
        <f>ROUND(B17*F11/F12,2)</f>
        <v>5541.87</v>
      </c>
      <c r="C18" s="3030">
        <f>ROUND(F11/F12,4)</f>
        <v>1.1521999999999999</v>
      </c>
      <c r="D18" s="3031"/>
      <c r="E18" s="3031"/>
      <c r="F18" s="3032"/>
    </row>
    <row r="19" spans="1:14" ht="14.25" thickBot="1"/>
    <row r="20" spans="1:14" s="3067" customFormat="1" ht="14.25" thickTop="1">
      <c r="A20" s="3064" t="s">
        <v>2515</v>
      </c>
      <c r="B20" s="3065"/>
      <c r="C20" s="3065"/>
      <c r="D20" s="3065"/>
      <c r="E20" s="3065"/>
      <c r="F20" s="3065"/>
      <c r="G20" s="3066"/>
      <c r="I20" s="3068" t="s">
        <v>2560</v>
      </c>
      <c r="J20" s="3068" t="s">
        <v>2565</v>
      </c>
      <c r="K20" s="3068"/>
      <c r="L20" s="3068"/>
      <c r="M20" s="3068"/>
    </row>
    <row r="21" spans="1:14">
      <c r="A21" s="3033"/>
      <c r="B21" s="3034" t="s">
        <v>2516</v>
      </c>
      <c r="C21" s="3034" t="s">
        <v>2517</v>
      </c>
      <c r="D21" s="3034" t="s">
        <v>2518</v>
      </c>
      <c r="E21" s="3034" t="s">
        <v>2519</v>
      </c>
      <c r="F21" s="3034" t="s">
        <v>2520</v>
      </c>
      <c r="G21" s="3035" t="s">
        <v>2521</v>
      </c>
      <c r="I21" s="3056">
        <v>5</v>
      </c>
      <c r="J21" s="3056">
        <v>54.2</v>
      </c>
    </row>
    <row r="22" spans="1:14">
      <c r="A22" s="3033" t="s">
        <v>2522</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2523</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2563</v>
      </c>
      <c r="N23" s="3455" t="s">
        <v>2564</v>
      </c>
    </row>
    <row r="24" spans="1:14">
      <c r="A24" s="3033" t="s">
        <v>2524</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2562</v>
      </c>
      <c r="N24" s="3455">
        <v>10</v>
      </c>
    </row>
    <row r="25" spans="1:14">
      <c r="A25" s="3033" t="s">
        <v>2525</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2566</v>
      </c>
      <c r="N25" s="3455">
        <v>8</v>
      </c>
    </row>
    <row r="26" spans="1:14">
      <c r="A26" s="3038"/>
      <c r="B26" s="3039"/>
      <c r="C26" s="3039"/>
      <c r="D26" s="3039"/>
      <c r="E26" s="3039"/>
      <c r="F26" s="3039"/>
      <c r="G26" s="3040"/>
      <c r="I26" s="3056">
        <v>30</v>
      </c>
      <c r="J26" s="3056">
        <v>90.5</v>
      </c>
      <c r="K26" s="3056">
        <f t="shared" si="2"/>
        <v>4.2000000000000028</v>
      </c>
      <c r="L26" s="3056" t="s">
        <v>2567</v>
      </c>
      <c r="N26" s="3455">
        <v>5</v>
      </c>
    </row>
    <row r="27" spans="1:14">
      <c r="A27" s="3038" t="s">
        <v>2526</v>
      </c>
      <c r="B27" s="3039"/>
      <c r="C27" s="3039"/>
      <c r="D27" s="3039"/>
      <c r="E27" s="3039"/>
      <c r="F27" s="3039"/>
      <c r="G27" s="3040"/>
      <c r="I27" s="3056">
        <v>35</v>
      </c>
      <c r="J27" s="3056">
        <v>93.8</v>
      </c>
      <c r="K27" s="3056">
        <f t="shared" si="2"/>
        <v>3.2999999999999972</v>
      </c>
      <c r="L27" s="3056" t="s">
        <v>2568</v>
      </c>
      <c r="N27" s="3455">
        <v>3</v>
      </c>
    </row>
    <row r="28" spans="1:14">
      <c r="A28" s="3038" t="s">
        <v>2527</v>
      </c>
      <c r="B28" s="3039"/>
      <c r="C28" s="3039"/>
      <c r="D28" s="3039"/>
      <c r="E28" s="3039"/>
      <c r="F28" s="3039"/>
      <c r="G28" s="3040"/>
      <c r="I28" s="3056">
        <v>40</v>
      </c>
      <c r="J28" s="3056">
        <v>96.4</v>
      </c>
      <c r="K28" s="3056">
        <f t="shared" si="2"/>
        <v>2.6000000000000085</v>
      </c>
      <c r="L28" s="3056" t="s">
        <v>2569</v>
      </c>
      <c r="N28" s="3455">
        <v>2</v>
      </c>
    </row>
    <row r="29" spans="1:14">
      <c r="A29" s="3038" t="s">
        <v>2528</v>
      </c>
      <c r="B29" s="3039"/>
      <c r="C29" s="3039"/>
      <c r="D29" s="3039"/>
      <c r="E29" s="3039"/>
      <c r="F29" s="3039"/>
      <c r="G29" s="3040"/>
      <c r="I29" s="3056">
        <v>45</v>
      </c>
      <c r="J29" s="3056">
        <v>98.4</v>
      </c>
      <c r="K29" s="3056">
        <f t="shared" si="2"/>
        <v>2</v>
      </c>
    </row>
    <row r="30" spans="1:14">
      <c r="A30" s="3038" t="s">
        <v>2529</v>
      </c>
      <c r="B30" s="3039"/>
      <c r="C30" s="3039"/>
      <c r="D30" s="3039"/>
      <c r="E30" s="3039"/>
      <c r="F30" s="3039"/>
      <c r="G30" s="3040"/>
      <c r="I30" s="3056">
        <v>50</v>
      </c>
      <c r="J30" s="3056">
        <v>100</v>
      </c>
      <c r="K30" s="3056">
        <f t="shared" si="2"/>
        <v>1.5999999999999943</v>
      </c>
    </row>
    <row r="31" spans="1:14">
      <c r="A31" s="3038" t="s">
        <v>2530</v>
      </c>
      <c r="B31" s="3039"/>
      <c r="C31" s="3039"/>
      <c r="D31" s="3039"/>
      <c r="E31" s="3039"/>
      <c r="F31" s="3039"/>
      <c r="G31" s="3040"/>
      <c r="I31" s="3056" t="s">
        <v>2561</v>
      </c>
    </row>
    <row r="32" spans="1:14">
      <c r="A32" s="3038" t="s">
        <v>2531</v>
      </c>
      <c r="B32" s="3039"/>
      <c r="C32" s="3039"/>
      <c r="D32" s="3039"/>
      <c r="E32" s="3039"/>
      <c r="F32" s="3039"/>
      <c r="G32" s="3040"/>
    </row>
    <row r="33" spans="1:14">
      <c r="A33" s="3038" t="s">
        <v>2532</v>
      </c>
      <c r="B33" s="3039"/>
      <c r="C33" s="3039"/>
      <c r="D33" s="3039"/>
      <c r="E33" s="3039"/>
      <c r="F33" s="3039"/>
      <c r="G33" s="3040"/>
      <c r="I33" s="3056" t="s">
        <v>2560</v>
      </c>
      <c r="J33" s="3056" t="s">
        <v>2570</v>
      </c>
    </row>
    <row r="34" spans="1:14">
      <c r="A34" s="3038" t="s">
        <v>2533</v>
      </c>
      <c r="B34" s="3039"/>
      <c r="C34" s="3039"/>
      <c r="D34" s="3039"/>
      <c r="E34" s="3039"/>
      <c r="F34" s="3039"/>
      <c r="G34" s="3040"/>
      <c r="I34" s="3056">
        <v>5</v>
      </c>
      <c r="J34" s="3056">
        <v>55.1</v>
      </c>
    </row>
    <row r="35" spans="1:14">
      <c r="A35" s="3038" t="s">
        <v>2534</v>
      </c>
      <c r="B35" s="3039"/>
      <c r="C35" s="3039"/>
      <c r="D35" s="3039"/>
      <c r="E35" s="3039"/>
      <c r="F35" s="3039"/>
      <c r="G35" s="3040"/>
      <c r="I35" s="3056">
        <v>10</v>
      </c>
      <c r="J35" s="3056">
        <v>67</v>
      </c>
      <c r="K35" s="3056">
        <f>J35-J34</f>
        <v>11.899999999999999</v>
      </c>
    </row>
    <row r="36" spans="1:14">
      <c r="A36" s="3038" t="s">
        <v>2535</v>
      </c>
      <c r="B36" s="3039"/>
      <c r="C36" s="3039"/>
      <c r="D36" s="3039"/>
      <c r="E36" s="3039"/>
      <c r="F36" s="3039"/>
      <c r="G36" s="3040"/>
      <c r="I36" s="3056">
        <v>15</v>
      </c>
      <c r="J36" s="3056">
        <v>76.3</v>
      </c>
      <c r="K36" s="3056">
        <f t="shared" ref="K36:K41" si="3">J36-J35</f>
        <v>9.2999999999999972</v>
      </c>
      <c r="L36" s="3056" t="s">
        <v>2563</v>
      </c>
      <c r="N36" s="3455" t="s">
        <v>2564</v>
      </c>
    </row>
    <row r="37" spans="1:14">
      <c r="A37" s="3038" t="s">
        <v>2536</v>
      </c>
      <c r="B37" s="3039"/>
      <c r="C37" s="3039"/>
      <c r="D37" s="3039"/>
      <c r="E37" s="3039"/>
      <c r="F37" s="3039"/>
      <c r="G37" s="3040"/>
      <c r="I37" s="3056">
        <v>20</v>
      </c>
      <c r="J37" s="3056">
        <v>83.6</v>
      </c>
      <c r="K37" s="3056">
        <f t="shared" si="3"/>
        <v>7.2999999999999972</v>
      </c>
      <c r="L37" s="3056" t="s">
        <v>2562</v>
      </c>
      <c r="N37" s="3455">
        <v>10</v>
      </c>
    </row>
    <row r="38" spans="1:14">
      <c r="A38" s="3038" t="s">
        <v>2537</v>
      </c>
      <c r="B38" s="3039"/>
      <c r="C38" s="3039"/>
      <c r="D38" s="3039"/>
      <c r="E38" s="3039"/>
      <c r="F38" s="3039"/>
      <c r="G38" s="3040"/>
      <c r="I38" s="3056">
        <v>25</v>
      </c>
      <c r="J38" s="3056">
        <v>89.3</v>
      </c>
      <c r="K38" s="3056">
        <f t="shared" si="3"/>
        <v>5.7000000000000028</v>
      </c>
      <c r="L38" s="3056" t="s">
        <v>2566</v>
      </c>
      <c r="N38" s="3455">
        <v>8</v>
      </c>
    </row>
    <row r="39" spans="1:14">
      <c r="A39" s="3038"/>
      <c r="B39" s="3039"/>
      <c r="C39" s="3039"/>
      <c r="D39" s="3039"/>
      <c r="E39" s="3039"/>
      <c r="F39" s="3039"/>
      <c r="G39" s="3040"/>
      <c r="I39" s="3056">
        <v>30</v>
      </c>
      <c r="J39" s="3056">
        <v>93.8</v>
      </c>
      <c r="K39" s="3056">
        <f t="shared" si="3"/>
        <v>4.5</v>
      </c>
      <c r="L39" s="3056" t="s">
        <v>2567</v>
      </c>
      <c r="N39" s="3455">
        <v>6</v>
      </c>
    </row>
    <row r="40" spans="1:14">
      <c r="A40" s="3041" t="s">
        <v>2538</v>
      </c>
      <c r="B40" s="3042"/>
      <c r="C40" s="3042"/>
      <c r="D40" s="3042"/>
      <c r="E40" s="3042"/>
      <c r="F40" s="3042"/>
      <c r="G40" s="3043"/>
      <c r="I40" s="3056">
        <v>35</v>
      </c>
      <c r="J40" s="3056">
        <v>97.2</v>
      </c>
      <c r="K40" s="3056">
        <f t="shared" si="3"/>
        <v>3.4000000000000057</v>
      </c>
      <c r="L40" s="3056" t="s">
        <v>2568</v>
      </c>
      <c r="N40" s="3455">
        <v>3</v>
      </c>
    </row>
    <row r="41" spans="1:14">
      <c r="A41" s="3044" t="s">
        <v>2539</v>
      </c>
      <c r="B41" s="3045" t="s">
        <v>2540</v>
      </c>
      <c r="C41" s="3046" t="s">
        <v>2541</v>
      </c>
      <c r="D41" s="3046" t="s">
        <v>2542</v>
      </c>
      <c r="E41" s="3047"/>
      <c r="F41" s="3048"/>
      <c r="G41" s="3049"/>
      <c r="I41" s="3056">
        <v>40</v>
      </c>
      <c r="J41" s="3056">
        <v>100</v>
      </c>
      <c r="K41" s="3056">
        <f t="shared" si="3"/>
        <v>2.7999999999999972</v>
      </c>
    </row>
    <row r="42" spans="1:14">
      <c r="A42" s="3044" t="s">
        <v>2543</v>
      </c>
      <c r="B42" s="3045" t="s">
        <v>2544</v>
      </c>
      <c r="C42" s="3046" t="s">
        <v>2545</v>
      </c>
      <c r="D42" s="3050" t="s">
        <v>2546</v>
      </c>
      <c r="E42" s="3042" t="s">
        <v>2547</v>
      </c>
      <c r="F42" s="3042"/>
      <c r="G42" s="3043"/>
    </row>
    <row r="43" spans="1:14">
      <c r="A43" s="3044" t="s">
        <v>2548</v>
      </c>
      <c r="B43" s="3045" t="s">
        <v>2549</v>
      </c>
      <c r="C43" s="3046" t="s">
        <v>2550</v>
      </c>
      <c r="D43" s="3046" t="s">
        <v>2551</v>
      </c>
      <c r="E43" s="3047" t="s">
        <v>2552</v>
      </c>
      <c r="F43" s="3048"/>
      <c r="G43" s="3049"/>
      <c r="I43" s="3056" t="s">
        <v>2560</v>
      </c>
      <c r="J43" s="3056" t="s">
        <v>2571</v>
      </c>
    </row>
    <row r="44" spans="1:14">
      <c r="A44" s="3044" t="s">
        <v>2553</v>
      </c>
      <c r="B44" s="3045" t="s">
        <v>2554</v>
      </c>
      <c r="C44" s="3046" t="s">
        <v>2555</v>
      </c>
      <c r="D44" s="3050">
        <v>0.5</v>
      </c>
      <c r="E44" s="3047" t="s">
        <v>2556</v>
      </c>
      <c r="F44" s="3048"/>
      <c r="G44" s="3049"/>
      <c r="I44" s="3056">
        <v>30</v>
      </c>
      <c r="J44" s="3056">
        <v>81.7</v>
      </c>
    </row>
    <row r="45" spans="1:14" ht="14.25" thickBot="1">
      <c r="A45" s="3051" t="s">
        <v>2557</v>
      </c>
      <c r="B45" s="3052" t="s">
        <v>2544</v>
      </c>
      <c r="C45" s="3053" t="s">
        <v>2544</v>
      </c>
      <c r="D45" s="3053" t="s">
        <v>2558</v>
      </c>
      <c r="E45" s="3054" t="s">
        <v>2559</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3381</v>
      </c>
    </row>
    <row r="50" spans="1:4">
      <c r="A50" s="3447" t="s">
        <v>3382</v>
      </c>
      <c r="B50" s="3447" t="s">
        <v>3383</v>
      </c>
      <c r="C50" s="3447" t="s">
        <v>3384</v>
      </c>
      <c r="D50" s="3447" t="s">
        <v>3385</v>
      </c>
    </row>
    <row r="51" spans="1:4">
      <c r="A51" s="3447" t="s">
        <v>3386</v>
      </c>
      <c r="B51" s="3020">
        <f>B52+B53</f>
        <v>15000</v>
      </c>
      <c r="C51" s="3448">
        <f>D51/B51</f>
        <v>2666.6666666666665</v>
      </c>
      <c r="D51" s="3020">
        <f>D52+D53</f>
        <v>40000000</v>
      </c>
    </row>
    <row r="52" spans="1:4">
      <c r="A52" s="3449" t="s">
        <v>3387</v>
      </c>
      <c r="B52" s="3450">
        <v>10000</v>
      </c>
      <c r="C52" s="3450">
        <v>1500</v>
      </c>
      <c r="D52" s="3451">
        <f>C52*B52</f>
        <v>15000000</v>
      </c>
    </row>
    <row r="53" spans="1:4">
      <c r="A53" s="3449" t="s">
        <v>3388</v>
      </c>
      <c r="B53" s="3450">
        <v>5000</v>
      </c>
      <c r="C53" s="3450">
        <v>5000</v>
      </c>
      <c r="D53" s="3451">
        <f>C53*B53</f>
        <v>25000000</v>
      </c>
    </row>
    <row r="54" spans="1:4">
      <c r="A54" s="3447" t="s">
        <v>3389</v>
      </c>
      <c r="B54" s="3020">
        <f>B51</f>
        <v>15000</v>
      </c>
      <c r="C54" s="3027">
        <v>700</v>
      </c>
      <c r="D54" s="3020">
        <f t="shared" ref="D54:D55" si="5">C54*B54</f>
        <v>10500000</v>
      </c>
    </row>
    <row r="55" spans="1:4">
      <c r="A55" s="3447" t="s">
        <v>3390</v>
      </c>
      <c r="B55" s="3020">
        <f>B51</f>
        <v>15000</v>
      </c>
      <c r="C55" s="3027">
        <v>1500</v>
      </c>
      <c r="D55" s="3020">
        <f t="shared" si="5"/>
        <v>22500000</v>
      </c>
    </row>
    <row r="56" spans="1:4">
      <c r="A56" s="3447" t="s">
        <v>3391</v>
      </c>
      <c r="B56" s="3020">
        <f>B51</f>
        <v>15000</v>
      </c>
      <c r="C56" s="3452">
        <f>C51+C54+C55</f>
        <v>4866.6666666666661</v>
      </c>
      <c r="D56" s="3020">
        <f>D51+D54+D55</f>
        <v>73000000</v>
      </c>
    </row>
    <row r="58" spans="1:4">
      <c r="A58" s="3447" t="s">
        <v>3392</v>
      </c>
      <c r="B58" s="3453">
        <v>0.05</v>
      </c>
      <c r="C58" s="3020">
        <f>C56*(1+B58)</f>
        <v>5110</v>
      </c>
      <c r="D58" s="3020">
        <f>D56*B58</f>
        <v>3650000</v>
      </c>
    </row>
    <row r="60" spans="1:4">
      <c r="A60" s="3447" t="s">
        <v>3393</v>
      </c>
      <c r="B60" s="3027">
        <v>3500</v>
      </c>
      <c r="C60" s="3027">
        <f>C53</f>
        <v>5000</v>
      </c>
      <c r="D60" s="3020">
        <f>C60*B60</f>
        <v>17500000</v>
      </c>
    </row>
    <row r="62" spans="1:4">
      <c r="A62" s="3447" t="s">
        <v>3394</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2164</v>
      </c>
      <c r="B1" s="3542" t="str">
        <f>IF(B10="北京市","北京市",C10)&amp;F10&amp;IF(结果表!G1="在建","出让国有建设用地使用权及在建建筑物",IF(结果表!G1="土地","出让国有建设用地使用权",))&amp;B9&amp;"预评估"</f>
        <v>北京市西城区金融大街27号7层A座701等[5]套办公用房房地产抵押价值预评估</v>
      </c>
      <c r="C1" s="3543"/>
      <c r="D1" s="3543"/>
      <c r="E1" s="3543"/>
      <c r="F1" s="3543"/>
      <c r="G1" s="3543"/>
      <c r="H1" s="3543"/>
      <c r="I1" s="354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北京市西城区金融大街27号7层A座701等[5]套办公用房房地产抵押价值</v>
      </c>
      <c r="T1" s="1744"/>
      <c r="U1" s="1744"/>
      <c r="V1" s="1744"/>
      <c r="W1" s="1744"/>
      <c r="X1" s="1744"/>
      <c r="Y1" s="1744"/>
      <c r="Z1" s="1744"/>
      <c r="AA1" s="1744"/>
      <c r="AB1" s="1744"/>
    </row>
    <row r="2" spans="1:30">
      <c r="A2" s="2366" t="s">
        <v>2165</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北京市西城区金融大街27号7层A座701等[5]套办公用房房地产</v>
      </c>
      <c r="T2" s="1744"/>
      <c r="U2" s="1744"/>
      <c r="V2" s="1744"/>
      <c r="W2" s="1744"/>
      <c r="X2" s="1744"/>
      <c r="Y2" s="1744"/>
      <c r="Z2" s="1744"/>
      <c r="AA2" s="1744"/>
      <c r="AB2" s="1744"/>
    </row>
    <row r="3" spans="1:30">
      <c r="A3" s="302" t="s">
        <v>2166</v>
      </c>
      <c r="B3" s="2372">
        <v>45940</v>
      </c>
      <c r="C3" s="2373" t="s">
        <v>2167</v>
      </c>
      <c r="D3" s="2372">
        <f>B3</f>
        <v>45940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2168</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2169</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2170</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2171</v>
      </c>
      <c r="B7" s="2386"/>
      <c r="C7" s="2384"/>
      <c r="D7" s="2385"/>
      <c r="E7" s="2661"/>
      <c r="F7" s="2663"/>
      <c r="G7" s="2663"/>
      <c r="H7" s="2663"/>
      <c r="I7" s="2663"/>
      <c r="J7" s="2438"/>
      <c r="K7" s="2615"/>
      <c r="L7" s="2612"/>
      <c r="M7" s="2612"/>
      <c r="N7" s="2438"/>
      <c r="O7" s="2449"/>
      <c r="P7" s="2438"/>
      <c r="Q7" s="2438"/>
      <c r="R7" s="2438"/>
    </row>
    <row r="8" spans="1:30">
      <c r="A8" s="2387" t="s">
        <v>2172</v>
      </c>
      <c r="B8" s="2388" t="s">
        <v>3413</v>
      </c>
      <c r="C8" s="2389"/>
      <c r="D8" s="3545" t="s">
        <v>2173</v>
      </c>
      <c r="E8" s="2390" t="s">
        <v>3414</v>
      </c>
      <c r="F8" s="2391"/>
      <c r="G8" s="2662"/>
      <c r="H8" s="2662"/>
      <c r="I8" s="2662"/>
      <c r="J8" s="2438"/>
      <c r="K8" s="2613"/>
      <c r="L8" s="2612"/>
      <c r="M8" s="2612"/>
      <c r="N8" s="2438"/>
      <c r="O8" s="2449"/>
      <c r="P8" s="2438"/>
      <c r="Q8" s="2438"/>
      <c r="R8" s="2438"/>
    </row>
    <row r="9" spans="1:30" ht="13.5" thickBot="1">
      <c r="A9" s="2392" t="s">
        <v>2174</v>
      </c>
      <c r="B9" s="2393" t="s">
        <v>3414</v>
      </c>
      <c r="C9" s="2394"/>
      <c r="D9" s="3546"/>
      <c r="E9" s="2393"/>
      <c r="F9" s="2395"/>
      <c r="G9" s="2664"/>
      <c r="H9" s="2664"/>
      <c r="I9" s="2664"/>
      <c r="J9" s="2438"/>
      <c r="K9" s="2615"/>
      <c r="L9" s="2612"/>
      <c r="M9" s="2612"/>
      <c r="N9" s="2438"/>
      <c r="O9" s="2449"/>
      <c r="P9" s="2438"/>
      <c r="Q9" s="2438"/>
      <c r="R9" s="2438"/>
    </row>
    <row r="10" spans="1:30" ht="13.5" thickTop="1">
      <c r="A10" s="2396" t="s">
        <v>2175</v>
      </c>
      <c r="B10" s="2397" t="s">
        <v>3415</v>
      </c>
      <c r="C10" s="2398"/>
      <c r="D10" s="2381"/>
      <c r="E10" s="2399" t="s">
        <v>2176</v>
      </c>
      <c r="F10" s="2665" t="s">
        <v>3417</v>
      </c>
      <c r="G10" s="2666"/>
      <c r="H10" s="2667"/>
      <c r="I10" s="2668"/>
      <c r="J10" s="2438"/>
      <c r="K10" s="2615"/>
      <c r="L10" s="2612"/>
      <c r="M10" s="2612"/>
      <c r="N10" s="2438"/>
      <c r="O10" s="2449"/>
      <c r="P10" s="2438"/>
      <c r="Q10" s="2438"/>
      <c r="R10" s="2438"/>
    </row>
    <row r="11" spans="1:30">
      <c r="A11" s="2400" t="s">
        <v>2177</v>
      </c>
      <c r="B11" s="2401" t="s">
        <v>3416</v>
      </c>
      <c r="C11" s="2402"/>
      <c r="D11" s="2403"/>
      <c r="E11" s="2369"/>
      <c r="F11" s="2369"/>
      <c r="G11" s="2369"/>
      <c r="H11" s="2369"/>
      <c r="I11" s="2369"/>
      <c r="J11" s="3059"/>
      <c r="K11" s="3058"/>
      <c r="L11" s="2612"/>
      <c r="M11" s="2612"/>
      <c r="N11" s="2438"/>
      <c r="O11" s="2449"/>
      <c r="P11" s="2438"/>
      <c r="Q11" s="2438"/>
      <c r="R11" s="2438"/>
    </row>
    <row r="12" spans="1:30">
      <c r="A12" s="2404" t="s">
        <v>2178</v>
      </c>
      <c r="B12" s="323" t="s">
        <v>2179</v>
      </c>
      <c r="C12" s="2405" t="s">
        <v>2180</v>
      </c>
      <c r="D12" s="2405" t="s">
        <v>2181</v>
      </c>
      <c r="E12" s="2405" t="s">
        <v>2182</v>
      </c>
      <c r="F12" s="2405" t="s">
        <v>2183</v>
      </c>
      <c r="G12" s="2405" t="s">
        <v>2184</v>
      </c>
      <c r="H12" s="2405" t="s">
        <v>2185</v>
      </c>
      <c r="I12" s="3057" t="s">
        <v>2572</v>
      </c>
      <c r="J12" s="3060"/>
      <c r="K12" s="2612"/>
      <c r="L12" s="2612"/>
      <c r="M12" s="2438"/>
      <c r="N12" s="2449"/>
      <c r="O12" s="2438"/>
      <c r="P12" s="2438"/>
      <c r="Q12" s="2438"/>
      <c r="AD12" s="1744"/>
    </row>
    <row r="13" spans="1:30">
      <c r="A13" s="3421" t="s">
        <v>3326</v>
      </c>
      <c r="B13" s="2406" t="s">
        <v>2186</v>
      </c>
      <c r="C13" s="855"/>
      <c r="D13" s="855"/>
      <c r="E13" s="855">
        <v>52805</v>
      </c>
      <c r="F13" s="855"/>
      <c r="G13" s="855"/>
      <c r="H13" s="855"/>
      <c r="I13" s="855"/>
      <c r="J13" s="3060"/>
      <c r="K13" s="2612"/>
      <c r="L13" s="2612"/>
      <c r="M13" s="2438"/>
      <c r="N13" s="2449"/>
      <c r="O13" s="2438"/>
      <c r="P13" s="2438"/>
      <c r="Q13" s="2438"/>
      <c r="AD13" s="1744"/>
    </row>
    <row r="14" spans="1:30">
      <c r="A14" s="1080"/>
      <c r="B14" s="2406" t="s">
        <v>2187</v>
      </c>
      <c r="C14" s="2407"/>
      <c r="D14" s="2407"/>
      <c r="E14" s="2407">
        <v>50</v>
      </c>
      <c r="F14" s="2407"/>
      <c r="G14" s="2407"/>
      <c r="H14" s="2407"/>
      <c r="I14" s="2407"/>
      <c r="J14" s="3061"/>
      <c r="K14" s="2612"/>
      <c r="L14" s="2612"/>
      <c r="M14" s="2438"/>
      <c r="N14" s="2449"/>
      <c r="O14" s="2438"/>
      <c r="P14" s="2438"/>
      <c r="Q14" s="2438"/>
      <c r="AD14" s="1744"/>
    </row>
    <row r="15" spans="1:30">
      <c r="A15" s="320"/>
      <c r="B15" s="2408" t="s">
        <v>2188</v>
      </c>
      <c r="C15" s="2409" t="str">
        <f>IF(A13="出让",IF(C13="","",ROUNDDOWN(MIN((C13-$D$3)/365,C14),2)),C14)</f>
        <v/>
      </c>
      <c r="D15" s="2409" t="str">
        <f>IF(A13="出让",IF(D13="","",ROUNDDOWN(MIN((D13-$D$3)/365,D14),2)),D14)</f>
        <v/>
      </c>
      <c r="E15" s="2409">
        <f>IF(A13="出让",IF(E13="","",ROUNDDOWN(MIN((E13-$D$3)/365,E14),2)),E14)</f>
        <v>18.8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2189</v>
      </c>
      <c r="B16" s="3552"/>
      <c r="C16" s="3553"/>
      <c r="D16" s="3554"/>
      <c r="E16" s="2412" t="s">
        <v>2190</v>
      </c>
      <c r="F16" s="3555"/>
      <c r="G16" s="3556"/>
      <c r="H16" s="3556"/>
      <c r="I16" s="3557"/>
      <c r="J16" s="2438"/>
      <c r="K16" s="2616"/>
      <c r="L16" s="2450"/>
      <c r="M16" s="2450"/>
      <c r="N16" s="2508"/>
      <c r="O16" s="2450"/>
      <c r="P16" s="2508"/>
      <c r="Q16" s="2438"/>
      <c r="R16" s="2438"/>
    </row>
    <row r="17" spans="1:28">
      <c r="A17" s="313" t="s">
        <v>2191</v>
      </c>
      <c r="B17" s="302" t="s">
        <v>2192</v>
      </c>
      <c r="C17" s="8">
        <f>'数据-汇总表'!E3</f>
        <v>571.24</v>
      </c>
      <c r="D17" s="2321" t="s">
        <v>2193</v>
      </c>
      <c r="E17" s="3558" t="s">
        <v>2194</v>
      </c>
      <c r="F17" s="3559"/>
      <c r="G17" s="3559"/>
      <c r="H17" s="3559"/>
      <c r="I17" s="3560"/>
      <c r="J17" s="2438"/>
      <c r="K17" s="2617"/>
      <c r="L17" s="2450"/>
      <c r="M17" s="2450"/>
      <c r="N17" s="2508"/>
      <c r="O17" s="2450"/>
      <c r="P17" s="2508"/>
      <c r="Q17" s="2438"/>
      <c r="R17" s="2438"/>
      <c r="S17" s="2438"/>
      <c r="T17" s="2438"/>
      <c r="U17" s="2438"/>
      <c r="V17" s="2438"/>
    </row>
    <row r="18" spans="1:28" ht="24.75" thickBot="1">
      <c r="A18" s="2413" t="s">
        <v>2195</v>
      </c>
      <c r="B18" s="1089" t="s">
        <v>2196</v>
      </c>
      <c r="C18" s="2414">
        <f>'数据-汇总表'!D3</f>
        <v>62.48</v>
      </c>
      <c r="D18" s="1091" t="s">
        <v>2197</v>
      </c>
      <c r="E18" s="3561" t="s">
        <v>2198</v>
      </c>
      <c r="F18" s="3562"/>
      <c r="G18" s="3562"/>
      <c r="H18" s="3562"/>
      <c r="I18" s="3563"/>
      <c r="J18" s="2438"/>
      <c r="K18" s="2617"/>
      <c r="L18" s="2450"/>
      <c r="M18" s="2450"/>
      <c r="N18" s="2508"/>
      <c r="O18" s="2450"/>
      <c r="P18" s="2508"/>
      <c r="Q18" s="2438"/>
      <c r="R18" s="2438"/>
      <c r="S18" s="2438"/>
      <c r="T18" s="2438"/>
      <c r="U18" s="2438"/>
      <c r="V18" s="2438"/>
    </row>
    <row r="19" spans="1:28" ht="37.5" thickTop="1" thickBot="1">
      <c r="A19" s="327" t="s">
        <v>1055</v>
      </c>
      <c r="B19" s="307" t="s">
        <v>2199</v>
      </c>
      <c r="C19" s="1562"/>
      <c r="D19" s="1563" t="s">
        <v>2200</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2201</v>
      </c>
      <c r="B20" s="3548" t="s">
        <v>2202</v>
      </c>
      <c r="C20" s="3549"/>
      <c r="D20" s="3550" t="s">
        <v>2203</v>
      </c>
      <c r="E20" s="3551"/>
      <c r="F20" s="2646" t="s">
        <v>1056</v>
      </c>
      <c r="G20" s="2663"/>
      <c r="H20" s="2663"/>
      <c r="I20" s="2663"/>
      <c r="J20" s="2438"/>
      <c r="K20" s="3547" t="s">
        <v>2204</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2205</v>
      </c>
      <c r="C21" s="2633" t="s">
        <v>1057</v>
      </c>
      <c r="D21" s="1567" t="s">
        <v>2206</v>
      </c>
      <c r="E21" s="2634" t="s">
        <v>1057</v>
      </c>
      <c r="F21" s="2647"/>
      <c r="G21" s="2663"/>
      <c r="H21" s="2663"/>
      <c r="I21" s="2663"/>
      <c r="J21" s="2438"/>
      <c r="K21" s="354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2207</v>
      </c>
      <c r="C22" s="2633" t="s">
        <v>1058</v>
      </c>
      <c r="D22" s="2662"/>
      <c r="E22" s="2662"/>
      <c r="F22" s="2662"/>
      <c r="G22" s="2663"/>
      <c r="H22" s="2663"/>
      <c r="I22" s="2663"/>
      <c r="J22" s="2438"/>
      <c r="K22" s="354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2208</v>
      </c>
      <c r="B23" s="2501" t="s">
        <v>2209</v>
      </c>
      <c r="C23" s="2637"/>
      <c r="D23" s="2638" t="s">
        <v>2209</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5" t="s">
        <v>2210</v>
      </c>
      <c r="B27" s="320" t="s">
        <v>2211</v>
      </c>
      <c r="C27" s="2415" t="s">
        <v>3418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5"/>
      <c r="B28" s="302" t="s">
        <v>2212</v>
      </c>
      <c r="C28" s="2417" t="s">
        <v>3419</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5"/>
      <c r="B29" s="302" t="s">
        <v>2213</v>
      </c>
      <c r="C29" s="2419" t="s">
        <v>3420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6"/>
      <c r="B30" s="302" t="s">
        <v>2214</v>
      </c>
      <c r="C30" s="3567"/>
      <c r="D30" s="3568"/>
      <c r="E30" s="2663"/>
      <c r="F30" s="2663"/>
      <c r="G30" s="2663"/>
      <c r="H30" s="2663"/>
      <c r="I30" s="2663"/>
      <c r="J30" s="2438"/>
      <c r="K30" s="2615"/>
      <c r="L30" s="2612"/>
      <c r="M30" s="2612"/>
      <c r="N30" s="2438"/>
      <c r="O30" s="2449"/>
      <c r="P30" s="2438"/>
      <c r="Q30" s="2438"/>
      <c r="R30" s="2438"/>
      <c r="S30" s="2438"/>
      <c r="T30" s="2438"/>
      <c r="U30" s="2438"/>
      <c r="V30" s="2438"/>
    </row>
    <row r="31" spans="1:28">
      <c r="A31" s="3569" t="s">
        <v>2215</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7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7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2216</v>
      </c>
      <c r="B34" s="2025"/>
      <c r="C34" s="2025"/>
      <c r="D34" s="2025"/>
      <c r="E34" s="2025"/>
      <c r="F34" s="2025"/>
      <c r="G34" s="2025"/>
      <c r="H34" s="2025"/>
      <c r="I34" s="2663"/>
      <c r="J34" s="2438"/>
      <c r="K34" s="2426">
        <f>COUNTIF(B34:H34,"——")</f>
        <v>0</v>
      </c>
      <c r="L34" s="323" t="s">
        <v>2217</v>
      </c>
      <c r="M34" s="323" t="s">
        <v>2218</v>
      </c>
      <c r="N34" s="323" t="s">
        <v>2219</v>
      </c>
      <c r="O34" s="323" t="s">
        <v>2220</v>
      </c>
      <c r="P34" s="323" t="s">
        <v>2221</v>
      </c>
      <c r="Q34" s="323" t="s">
        <v>2222</v>
      </c>
      <c r="R34" s="323" t="s">
        <v>2223</v>
      </c>
      <c r="S34" s="3564" t="s">
        <v>2224</v>
      </c>
      <c r="T34" s="2427" t="str">
        <f>NUMBERSTRING(7-K34,1)&amp;"通"</f>
        <v>七通</v>
      </c>
      <c r="U34" s="2438"/>
      <c r="V34" s="2438"/>
    </row>
    <row r="35" spans="1:30">
      <c r="A35" s="2428"/>
      <c r="B35" s="3571" t="s">
        <v>2225</v>
      </c>
      <c r="C35" s="3571"/>
      <c r="D35" s="3571"/>
      <c r="E35" s="357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4"/>
      <c r="T35" s="329" t="str">
        <f>IF(T34="一通",L35,IF(T34="二通",M35,IF(T34="三通",N35,IF(T34="四通",O35,IF(T34="五通",P35,IF(T34="六通",Q35,R35))))))</f>
        <v>、、、、、、</v>
      </c>
      <c r="U35" s="2438"/>
      <c r="V35" s="2438"/>
    </row>
    <row r="36" spans="1:30">
      <c r="A36" s="2429"/>
      <c r="B36" s="663" t="s">
        <v>2181</v>
      </c>
      <c r="C36" s="663" t="s">
        <v>2182</v>
      </c>
      <c r="D36" s="663" t="s">
        <v>2180</v>
      </c>
      <c r="E36" s="663" t="s">
        <v>2185</v>
      </c>
      <c r="F36" s="3063" t="s">
        <v>2575</v>
      </c>
      <c r="G36" s="2663"/>
      <c r="H36" s="2663"/>
      <c r="I36" s="2663"/>
      <c r="J36" s="2438"/>
      <c r="K36" s="2615"/>
      <c r="L36" s="2612"/>
      <c r="M36" s="2612"/>
      <c r="N36" s="2438"/>
      <c r="O36" s="2449"/>
      <c r="P36" s="2438"/>
      <c r="Q36" s="2438"/>
      <c r="R36" s="2438"/>
      <c r="S36" s="2438"/>
      <c r="T36" s="2438"/>
      <c r="U36" s="2438"/>
      <c r="V36" s="2438"/>
    </row>
    <row r="37" spans="1:30">
      <c r="A37" s="2629" t="s">
        <v>2226</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2227</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2228</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2229</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2230</v>
      </c>
      <c r="B42" s="8" t="s">
        <v>2231</v>
      </c>
      <c r="C42" s="8" t="s">
        <v>2232</v>
      </c>
      <c r="D42" s="8" t="s">
        <v>2233</v>
      </c>
      <c r="E42" s="8" t="s">
        <v>2234</v>
      </c>
      <c r="F42" s="8" t="s">
        <v>2235</v>
      </c>
      <c r="G42" s="8" t="s">
        <v>2236</v>
      </c>
      <c r="H42" s="8" t="s">
        <v>2237</v>
      </c>
      <c r="I42" s="8" t="s">
        <v>2238</v>
      </c>
      <c r="J42" s="2625" t="s">
        <v>2239</v>
      </c>
      <c r="K42" s="2626" t="s">
        <v>2240</v>
      </c>
      <c r="L42" s="2626" t="s">
        <v>2241</v>
      </c>
      <c r="M42" s="2626" t="s">
        <v>2242</v>
      </c>
      <c r="N42" s="2619" t="s">
        <v>2243</v>
      </c>
      <c r="O42" s="2619" t="s">
        <v>2244</v>
      </c>
      <c r="P42" s="2619" t="s">
        <v>2245</v>
      </c>
      <c r="Q42" s="2620" t="s">
        <v>2246</v>
      </c>
      <c r="R42" s="2620" t="s">
        <v>2247</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1" sqref="B1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62.48</v>
      </c>
      <c r="B3" s="11">
        <f>IF(C3="否",G5-AT5,G5)</f>
        <v>571.24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571.24</v>
      </c>
      <c r="H5" s="13">
        <f t="shared" ref="H5:AT5" si="0">SUM(H13:H656)</f>
        <v>571.24</v>
      </c>
      <c r="I5" s="13">
        <f t="shared" si="0"/>
        <v>571.24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571.24</v>
      </c>
      <c r="BA5" s="15">
        <f t="shared" si="1"/>
        <v>571.24</v>
      </c>
      <c r="BB5" s="15">
        <f t="shared" si="1"/>
        <v>571.24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62.48</v>
      </c>
      <c r="F6" s="13" t="s">
        <v>0</v>
      </c>
      <c r="G6" s="13" t="s">
        <v>1</v>
      </c>
      <c r="H6" s="17">
        <f>SUMIF(I$12:AB$12,"总值",I6:AB6)</f>
        <v>62.48</v>
      </c>
      <c r="I6" s="13">
        <f t="shared" ref="I6:AB6" si="2">ROUND($A$3*I5/$B$3,2)</f>
        <v>62.48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62.48</v>
      </c>
      <c r="AZ6" s="13" t="s">
        <v>2</v>
      </c>
      <c r="BA6" s="13">
        <f>ROUND($AY$6*BA5/$AZ$5,2)</f>
        <v>62.48</v>
      </c>
      <c r="BB6" s="13">
        <f>ROUND($AY$6*BB5/$AZ$5,2)</f>
        <v>62.48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3422</v>
      </c>
      <c r="E13" s="13">
        <f>IF($C$3="是",ROUND($A$3*G13/$B$3,2),ROUND($A$3*(G13-AT13)/$B$3,2))</f>
        <v>62.48</v>
      </c>
      <c r="F13" s="29"/>
      <c r="G13" s="30">
        <f>H13+AC13+AT13</f>
        <v>571.24</v>
      </c>
      <c r="H13" s="17">
        <f>SUMIF(I$12:AB$12,"总值",I13:AB13)</f>
        <v>571.24</v>
      </c>
      <c r="I13" s="1625">
        <v>571.24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62.48</v>
      </c>
      <c r="AZ13" s="13">
        <f>BA13+BL13</f>
        <v>571.24</v>
      </c>
      <c r="BA13" s="13">
        <f>SUM(BB13:BK13)</f>
        <v>571.24</v>
      </c>
      <c r="BB13" s="13">
        <f>IF($D13="是",I13-J13,0)</f>
        <v>571.24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81" t="s">
        <v>1131</v>
      </c>
      <c r="B2" s="3581"/>
      <c r="C2" s="3581"/>
      <c r="D2" s="795" t="s">
        <v>1107</v>
      </c>
      <c r="E2" s="1638" t="s">
        <v>1108</v>
      </c>
      <c r="F2" s="2658"/>
      <c r="G2" s="2649"/>
      <c r="H2" s="2650"/>
      <c r="I2" s="2324" t="s">
        <v>1132</v>
      </c>
      <c r="J2" s="2658"/>
      <c r="K2" s="2658"/>
      <c r="L2" s="2658"/>
      <c r="M2" s="2658"/>
      <c r="N2" s="2660"/>
      <c r="O2" s="2658"/>
      <c r="P2" s="2658"/>
    </row>
    <row r="3" spans="1:16" ht="15.75" thickBot="1">
      <c r="A3" s="3582" t="s">
        <v>1105</v>
      </c>
      <c r="B3" s="3582"/>
      <c r="C3" s="3582"/>
      <c r="D3" s="43">
        <f>'数据-基础表'!AY6</f>
        <v>62.48</v>
      </c>
      <c r="E3" s="43">
        <f>'数据-基础表'!AZ5</f>
        <v>571.24</v>
      </c>
      <c r="F3" s="2658"/>
      <c r="G3" s="1144"/>
      <c r="H3" s="1025" t="s">
        <v>1106</v>
      </c>
      <c r="I3" s="854">
        <f>ROUND('数据-基础表'!B3/'数据-基础表'!A3,2)</f>
        <v>9.14</v>
      </c>
      <c r="J3" s="2658"/>
      <c r="K3" s="2658"/>
      <c r="L3" s="2658"/>
      <c r="M3" s="2658"/>
      <c r="N3" s="2660"/>
      <c r="O3" s="2658"/>
      <c r="P3" s="2658"/>
    </row>
    <row r="4" spans="1:16" ht="15">
      <c r="A4" s="3583"/>
      <c r="B4" s="3584"/>
      <c r="C4" s="3585"/>
      <c r="D4" s="1640" t="s">
        <v>1107</v>
      </c>
      <c r="E4" s="1641" t="s">
        <v>1108</v>
      </c>
      <c r="F4" s="2658"/>
      <c r="G4" s="2651" t="s">
        <v>1133</v>
      </c>
      <c r="H4" s="1025" t="s">
        <v>1113</v>
      </c>
      <c r="I4" s="854">
        <f>ROUND(SUMIF('数据-基础表'!I9:AS9,"地上",'数据-基础表'!I5:AS5)/'数据-基础表'!A3,2)</f>
        <v>9.14</v>
      </c>
      <c r="J4" s="2658"/>
      <c r="K4" s="2658"/>
      <c r="L4" s="2658"/>
      <c r="M4" s="2658"/>
      <c r="N4" s="2660"/>
      <c r="O4" s="2658"/>
      <c r="P4" s="2658"/>
    </row>
    <row r="5" spans="1:16">
      <c r="A5" s="44" t="s">
        <v>1109</v>
      </c>
      <c r="B5" s="3586" t="s">
        <v>1110</v>
      </c>
      <c r="C5" s="3586"/>
      <c r="D5" s="45">
        <f>ROUND($D$3*E5/$E$3,2)</f>
        <v>0</v>
      </c>
      <c r="E5" s="46">
        <f>SUMIF('数据-基础表'!$11:$11,"住宅",'数据-基础表'!$5:$5)</f>
        <v>0</v>
      </c>
      <c r="F5" s="2658"/>
      <c r="G5" s="1144"/>
      <c r="H5" s="1025" t="s">
        <v>1106</v>
      </c>
      <c r="I5" s="854">
        <f>ROUND(E31/D31,2)</f>
        <v>9.14</v>
      </c>
      <c r="J5" s="2658"/>
      <c r="K5" s="2658"/>
      <c r="L5" s="2658"/>
      <c r="M5" s="2658"/>
      <c r="N5" s="2658"/>
      <c r="O5" s="2658"/>
      <c r="P5" s="2658"/>
    </row>
    <row r="6" spans="1:16" ht="15" thickBot="1">
      <c r="A6" s="1643"/>
      <c r="B6" s="3586" t="s">
        <v>1111</v>
      </c>
      <c r="C6" s="3586"/>
      <c r="D6" s="45">
        <f>ROUND($D$3*E6/$E$3,2)</f>
        <v>62.48</v>
      </c>
      <c r="E6" s="46">
        <f>E3-E5</f>
        <v>571.24</v>
      </c>
      <c r="F6" s="2658"/>
      <c r="G6" s="2652" t="s">
        <v>1112</v>
      </c>
      <c r="H6" s="1145" t="s">
        <v>1113</v>
      </c>
      <c r="I6" s="2653">
        <f>ROUND(F31/D31,2)</f>
        <v>9.14</v>
      </c>
      <c r="J6" s="2658"/>
      <c r="K6" s="2658"/>
      <c r="L6" s="2658"/>
      <c r="M6" s="2658"/>
      <c r="N6" s="2658"/>
      <c r="O6" s="2658"/>
      <c r="P6" s="2658"/>
    </row>
    <row r="7" spans="1:16" ht="15.75" thickBot="1">
      <c r="A7" s="3578"/>
      <c r="B7" s="3579"/>
      <c r="C7" s="3580"/>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62.48</v>
      </c>
      <c r="E8" s="48">
        <f>SUMIF('数据-基础表'!BB10:BK10,"地上",'数据-基础表'!BB5:BK5)</f>
        <v>571.24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62.48</v>
      </c>
      <c r="E16" s="50">
        <f>SUM(E8:E15)</f>
        <v>571.24</v>
      </c>
      <c r="F16" s="2658"/>
      <c r="G16" s="2659"/>
      <c r="H16" s="1647" t="s">
        <v>1135</v>
      </c>
      <c r="I16" s="1648"/>
      <c r="J16" s="1138"/>
      <c r="K16" s="3575" t="s">
        <v>1135</v>
      </c>
      <c r="L16" s="3576"/>
      <c r="M16" s="3576"/>
      <c r="N16" s="3576"/>
      <c r="O16" s="3576"/>
      <c r="P16" s="3577"/>
    </row>
    <row r="17" spans="1:19" ht="15">
      <c r="A17" s="1649" t="s">
        <v>1136</v>
      </c>
      <c r="B17" s="1650" t="s">
        <v>1137</v>
      </c>
      <c r="C17" s="1651" t="s">
        <v>1138</v>
      </c>
      <c r="D17" s="1652" t="s">
        <v>1126</v>
      </c>
      <c r="E17" s="1653" t="s">
        <v>1127</v>
      </c>
      <c r="F17" s="1654"/>
      <c r="G17" s="1655"/>
      <c r="H17" s="1656" t="s">
        <v>1139</v>
      </c>
      <c r="I17" s="1657" t="s">
        <v>1124</v>
      </c>
      <c r="J17" s="1138"/>
      <c r="K17" s="3572" t="s">
        <v>1140</v>
      </c>
      <c r="L17" s="3573"/>
      <c r="M17" s="3574"/>
      <c r="N17" s="3572" t="s">
        <v>1141</v>
      </c>
      <c r="O17" s="3573"/>
      <c r="P17" s="3574"/>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3424</v>
      </c>
      <c r="D19" s="45">
        <f>ROUND($D$3*E19/$E$3,2)</f>
        <v>62.48</v>
      </c>
      <c r="E19" s="53">
        <f t="shared" ref="E19:E26" si="1">SUM(F19:G19)</f>
        <v>571.24</v>
      </c>
      <c r="F19" s="2793">
        <f>'数据-基础表'!I13</f>
        <v>571.24</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62.48</v>
      </c>
      <c r="S19" s="1026">
        <f t="shared" si="5"/>
        <v>571.24</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62.48</v>
      </c>
      <c r="E27" s="1140">
        <f>IF(SUM(E19:E26)='数据-基础表'!BA5,SUM(E19:E26),IF(F27="地上面积有误","面积有误","地下面积有误"))</f>
        <v>571.24</v>
      </c>
      <c r="F27" s="1139">
        <f>IF(SUM(F19:F26)=E8,SUM(F19:F26),"地上面积有误")</f>
        <v>571.24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62.48</v>
      </c>
      <c r="S27" s="1025">
        <f>IF(SUM(S19:S26)=$E$3,SUM(S19:S26),SUM(S19:S26)&amp;"误差"&amp;ROUND(SUM(S19:S26)-E3,2))</f>
        <v>571.24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62.48</v>
      </c>
      <c r="E31" s="675">
        <f>E27+E30</f>
        <v>571.24</v>
      </c>
      <c r="F31" s="676">
        <f>F27+F30</f>
        <v>571.24</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AL23" sqref="AL23"/>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45940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52805</v>
      </c>
      <c r="F6" s="64">
        <f>SUMIF(项目基本情况!C$12:I$12,C6,项目基本情况!C$15:I$15)</f>
        <v>18.8</v>
      </c>
      <c r="G6" s="65">
        <f>IF(ISERROR(ROUND(POWER(1+H6,D6-F6)*(POWER(1+H6,F6)-1)/(POWER(1+H6,D6)-1),3)),0,ROUND(POWER(1+H6,D6-F6)*(POWER(1+H6,F6)-1)/(POWER(1+H6,D6)-1),3))</f>
        <v>0.65800000000000003</v>
      </c>
      <c r="H6" s="731">
        <v>0.05</v>
      </c>
      <c r="I6" s="731">
        <v>5.5E-2</v>
      </c>
      <c r="J6" s="66">
        <v>7.0000000000000007E-2</v>
      </c>
      <c r="K6" s="1029">
        <f>SUMIF('数据-汇总表'!C$19:C$33,A6,'数据-汇总表'!E$19:E$33)</f>
        <v>571.24</v>
      </c>
      <c r="L6" s="732">
        <v>5800</v>
      </c>
      <c r="M6" s="67">
        <f t="shared" ref="M6:M14" si="0">ROUND(K6*L6/10000,0)</f>
        <v>331</v>
      </c>
      <c r="N6" s="730">
        <f>N21</f>
        <v>0.67</v>
      </c>
      <c r="O6" s="67" t="str">
        <f>IF($N$5="成新度","——",ROUND(M6*N6,0))</f>
        <v>——</v>
      </c>
      <c r="P6" s="68" t="str">
        <f>IF($N$5="成新度","——",M6-O6)</f>
        <v>——</v>
      </c>
      <c r="Q6" s="733">
        <v>0.15</v>
      </c>
      <c r="R6" s="69">
        <f ca="1">SUMIF('数据-汇总表'!C$19:C$33,A6,'数据-汇总表'!R$19:R$27)</f>
        <v>62.48</v>
      </c>
      <c r="S6" s="51">
        <f>IF('数据-汇总表'!$I$17="按面积比例",SUMIF('数据-汇总表'!C$19:C$33,A6,'数据-汇总表'!K$19:K$33),SUMIF('数据-汇总表'!C$19:C$33,A6,'数据-汇总表'!N$19:N$33))</f>
        <v>0</v>
      </c>
      <c r="T6" s="1171">
        <f>ROUND($L$14*S6/10000,0)</f>
        <v>0</v>
      </c>
      <c r="U6" s="3426">
        <f>'比较法-租金办公'!C50</f>
        <v>6.8</v>
      </c>
      <c r="V6" s="70">
        <v>0.02</v>
      </c>
      <c r="W6" s="70">
        <v>0.1</v>
      </c>
      <c r="X6" s="1039"/>
      <c r="Y6" s="71">
        <f>N6</f>
        <v>0.67</v>
      </c>
      <c r="Z6" s="72"/>
      <c r="AA6" s="66"/>
      <c r="AB6" s="66"/>
      <c r="AC6" s="1039"/>
      <c r="AD6" s="73"/>
      <c r="AE6" s="1040">
        <f ca="1">IF(AN6="",0,SUMIF(INDIRECT("'"&amp;AN6&amp;"'"&amp;"!E:E"),$AE$5,INDIRECT("'"&amp;AN6&amp;"'"&amp;"!F:F")))</f>
        <v>18.8</v>
      </c>
      <c r="AF6" s="1347"/>
      <c r="AG6" s="138">
        <f>IF(AF6="",0,AE6-AF6)</f>
        <v>0</v>
      </c>
      <c r="AH6" s="74"/>
      <c r="AI6" s="76">
        <v>365</v>
      </c>
      <c r="AJ6" s="77"/>
      <c r="AK6" s="78">
        <v>4.0000000000000001E-3</v>
      </c>
      <c r="AL6" s="79">
        <v>1E-3</v>
      </c>
      <c r="AM6" s="80">
        <v>0.01</v>
      </c>
      <c r="AN6" s="1714" t="s">
        <v>3429</v>
      </c>
      <c r="AO6" s="52">
        <f ca="1">SUMIF(INDIRECT("'"&amp;AN6&amp;"'"&amp;"!A:A"),"总价",INDIRECT("'"&amp;AN6&amp;"'"&amp;"!B:B"))</f>
        <v>1427.1355000000001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0.65800000000000003</v>
      </c>
      <c r="H16" s="90">
        <f>ROUND(SUMPRODUCT(H6:H13,K6:K13)/SUMPRODUCT((H6:H13&gt;0)*(K6:K13)),3)</f>
        <v>0.05</v>
      </c>
      <c r="I16" s="91"/>
      <c r="J16" s="91"/>
      <c r="K16" s="92">
        <f>SUM(K6:K15)</f>
        <v>571.24</v>
      </c>
      <c r="L16" s="93">
        <f>ROUND(M16*10000/SUM(K6:K14),0)</f>
        <v>5794</v>
      </c>
      <c r="M16" s="93">
        <f>SUM(M6:M14)</f>
        <v>331</v>
      </c>
      <c r="N16" s="94">
        <f>ROUND(SUMPRODUCT(M6:M14,N6:N14)/M16,3)</f>
        <v>0.67</v>
      </c>
      <c r="O16" s="93">
        <f>SUM(O6:O14)</f>
        <v>0</v>
      </c>
      <c r="P16" s="93">
        <f>SUM(P6:P14)</f>
        <v>0</v>
      </c>
      <c r="Q16" s="95">
        <f>ROUND(SUMPRODUCT(Q6:Q13,K6:K13)/SUMPRODUCT((Q6:Q13&gt;0)*(K6:K13)),2)</f>
        <v>0.15</v>
      </c>
      <c r="R16" s="1033">
        <f ca="1">SUM(R6:R13)</f>
        <v>62.48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1997</v>
      </c>
      <c r="O18" s="2670"/>
      <c r="P18" s="2670"/>
      <c r="Q18" s="2670"/>
      <c r="R18" s="2670"/>
      <c r="S18" s="2670"/>
      <c r="T18" s="2670"/>
      <c r="U18" s="2670">
        <f>U6*365/'比较法-办公'!C50</f>
        <v>3.4017707847920839E-2</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7" t="s">
        <v>2298</v>
      </c>
      <c r="D19" s="2675"/>
      <c r="E19" s="2672"/>
      <c r="F19" s="2672"/>
      <c r="G19" s="2672"/>
      <c r="H19" s="2672"/>
      <c r="I19" s="2672"/>
      <c r="J19" s="2672"/>
      <c r="K19" s="2671"/>
      <c r="L19" s="2671"/>
      <c r="M19" s="3477" t="s">
        <v>3426</v>
      </c>
      <c r="N19" s="2670">
        <f>ROUND(1-(1-0%)*(2025-N18)/60,2)</f>
        <v>0.53</v>
      </c>
      <c r="O19" s="2670"/>
      <c r="P19" s="2670"/>
      <c r="Q19" s="2670"/>
      <c r="R19" s="2670"/>
      <c r="S19" s="2670"/>
      <c r="T19" s="3477" t="s">
        <v>3493</v>
      </c>
      <c r="U19" s="2670">
        <f>租赁合同!E16</f>
        <v>14.505151707366736</v>
      </c>
      <c r="V19" s="2670"/>
      <c r="W19" s="2670"/>
      <c r="X19" s="2670"/>
      <c r="Y19" s="2670"/>
      <c r="Z19" s="3477" t="s">
        <v>3492</v>
      </c>
      <c r="AA19" s="2670"/>
      <c r="AB19" s="2670">
        <f>租赁合同!E15</f>
        <v>3.47</v>
      </c>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8" t="s">
        <v>2296</v>
      </c>
      <c r="D20" s="2675"/>
      <c r="E20" s="2672"/>
      <c r="F20" s="2672"/>
      <c r="G20" s="2672"/>
      <c r="H20" s="2672"/>
      <c r="I20" s="2672"/>
      <c r="J20" s="2672"/>
      <c r="K20" s="2671"/>
      <c r="L20" s="2671"/>
      <c r="M20" s="3477" t="s">
        <v>3427</v>
      </c>
      <c r="N20" s="2670">
        <v>0.8</v>
      </c>
      <c r="O20" s="2670"/>
      <c r="P20" s="2670"/>
      <c r="Q20" s="2670"/>
      <c r="R20" s="2670"/>
      <c r="S20" s="2670"/>
      <c r="T20" s="3477"/>
      <c r="U20" s="2670"/>
      <c r="V20" s="2670"/>
      <c r="W20" s="2670"/>
      <c r="X20" s="2670"/>
      <c r="Y20" s="2670"/>
      <c r="Z20" s="3477" t="s">
        <v>3494</v>
      </c>
      <c r="AA20" s="2670"/>
      <c r="AB20" s="2670"/>
      <c r="AC20" s="2670">
        <f>ROUND(1-(1-0%)*(2029-N18)/60,2)</f>
        <v>0.47</v>
      </c>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3477" t="s">
        <v>3428</v>
      </c>
      <c r="N21" s="2670">
        <f>ROUND((N19+N20)/2,2)</f>
        <v>0.67</v>
      </c>
      <c r="O21" s="2670"/>
      <c r="P21" s="2670"/>
      <c r="Q21" s="2670"/>
      <c r="R21" s="2670"/>
      <c r="S21" s="2670"/>
      <c r="T21" s="2670"/>
      <c r="U21" s="2670"/>
      <c r="V21" s="2670"/>
      <c r="W21" s="2670"/>
      <c r="X21" s="2670"/>
      <c r="Y21" s="2670"/>
      <c r="Z21" s="3477" t="s">
        <v>3495</v>
      </c>
      <c r="AA21" s="2670"/>
      <c r="AB21" s="2670"/>
      <c r="AC21" s="2670">
        <v>0.75</v>
      </c>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3477" t="s">
        <v>3496</v>
      </c>
      <c r="AA22" s="2670"/>
      <c r="AB22" s="2670"/>
      <c r="AC22" s="2670">
        <f>ROUND((AC20+AC21)/2,2)</f>
        <v>0.61</v>
      </c>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799" t="s">
        <v>2300</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0"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3377</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3395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1" t="s">
        <v>3378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1" t="s">
        <v>3379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3" t="s">
        <v>2306</v>
      </c>
      <c r="B40" s="1077">
        <f ca="1">IF(A40="利息：取LPR",存贷款利率!G1,存贷款利率!G1+C40)</f>
        <v>3.1300000000000001E-2</v>
      </c>
      <c r="C40" s="2812"/>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1" t="s">
        <v>3380</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0"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0"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3"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0"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0"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144</v>
      </c>
      <c r="C53" s="2660" t="s">
        <v>1246</v>
      </c>
      <c r="D53" s="2802"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87" t="s">
        <v>2282</v>
      </c>
      <c r="B1" s="3588"/>
      <c r="C1" s="3588"/>
      <c r="D1" s="3588"/>
      <c r="E1" s="3588"/>
      <c r="F1" s="3588"/>
      <c r="G1" s="358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8"/>
      <c r="I2" s="798"/>
      <c r="J2" s="798"/>
      <c r="K2" s="798"/>
      <c r="L2" s="798"/>
      <c r="M2" s="798"/>
      <c r="N2" s="798"/>
      <c r="O2" s="798"/>
      <c r="P2" s="798"/>
      <c r="Q2" s="798"/>
      <c r="R2" s="798"/>
    </row>
    <row r="3" spans="1:29" ht="48">
      <c r="A3" s="2440" t="s">
        <v>2279</v>
      </c>
      <c r="B3" s="2462" t="s">
        <v>2248</v>
      </c>
      <c r="C3" s="2463" t="s">
        <v>2280</v>
      </c>
      <c r="D3" s="2464"/>
      <c r="E3" s="2441" t="s">
        <v>2279</v>
      </c>
      <c r="F3" s="2465" t="s">
        <v>2249</v>
      </c>
      <c r="G3" s="2466" t="s">
        <v>2281</v>
      </c>
      <c r="H3" s="798"/>
      <c r="I3" s="798"/>
      <c r="J3" s="798"/>
      <c r="K3" s="798"/>
      <c r="L3" s="798"/>
      <c r="M3" s="798"/>
      <c r="N3" s="798"/>
      <c r="O3" s="798"/>
      <c r="P3" s="798"/>
      <c r="Q3" s="798"/>
      <c r="R3" s="798"/>
    </row>
    <row r="4" spans="1:29" ht="36.75">
      <c r="A4" s="2441"/>
      <c r="B4" s="323" t="s">
        <v>2250</v>
      </c>
      <c r="C4" s="2467" t="s">
        <v>2251</v>
      </c>
      <c r="D4" s="2464"/>
      <c r="E4" s="2468"/>
      <c r="F4" s="1372" t="s">
        <v>2252</v>
      </c>
      <c r="G4" s="2469" t="s">
        <v>2253</v>
      </c>
      <c r="H4" s="798"/>
      <c r="I4" s="798"/>
      <c r="J4" s="798"/>
      <c r="K4" s="798"/>
      <c r="L4" s="798"/>
      <c r="M4" s="798"/>
      <c r="N4" s="798"/>
      <c r="O4" s="798"/>
      <c r="P4" s="798"/>
      <c r="Q4" s="798"/>
      <c r="R4" s="798"/>
    </row>
    <row r="5" spans="1:29" ht="36.75">
      <c r="A5" s="2441"/>
      <c r="B5" s="323" t="s">
        <v>2254</v>
      </c>
      <c r="C5" s="2467" t="s">
        <v>2255</v>
      </c>
      <c r="D5" s="2464"/>
      <c r="E5" s="2468"/>
      <c r="F5" s="323" t="s">
        <v>2256</v>
      </c>
      <c r="G5" s="2469" t="s">
        <v>2257</v>
      </c>
      <c r="H5" s="798"/>
      <c r="I5" s="798"/>
      <c r="J5" s="798"/>
      <c r="K5" s="798"/>
      <c r="L5" s="798"/>
      <c r="M5" s="798"/>
      <c r="N5" s="798"/>
      <c r="O5" s="798"/>
      <c r="P5" s="798"/>
      <c r="Q5" s="798"/>
      <c r="R5" s="798"/>
    </row>
    <row r="6" spans="1:29" ht="36">
      <c r="A6" s="2441"/>
      <c r="B6" s="323" t="s">
        <v>2258</v>
      </c>
      <c r="C6" s="2469" t="s">
        <v>2253</v>
      </c>
      <c r="D6" s="2464"/>
      <c r="E6" s="2468"/>
      <c r="F6" s="323" t="s">
        <v>2259</v>
      </c>
      <c r="G6" s="2469" t="s">
        <v>2260</v>
      </c>
      <c r="H6" s="798"/>
      <c r="I6" s="798"/>
      <c r="J6" s="798"/>
      <c r="K6" s="798"/>
      <c r="L6" s="798"/>
      <c r="M6" s="798"/>
      <c r="N6" s="798"/>
      <c r="O6" s="798"/>
      <c r="P6" s="798"/>
      <c r="Q6" s="798"/>
      <c r="R6" s="798"/>
    </row>
    <row r="7" spans="1:29" ht="24.75" thickBot="1">
      <c r="A7" s="2441"/>
      <c r="B7" s="323" t="s">
        <v>2256</v>
      </c>
      <c r="C7" s="2469" t="s">
        <v>2257</v>
      </c>
      <c r="D7" s="2470"/>
      <c r="E7" s="2471"/>
      <c r="F7" s="2472" t="s">
        <v>2261</v>
      </c>
      <c r="G7" s="2473" t="s">
        <v>2262</v>
      </c>
      <c r="H7" s="798"/>
      <c r="I7" s="798"/>
      <c r="J7" s="798"/>
      <c r="K7" s="798"/>
      <c r="L7" s="798"/>
      <c r="M7" s="798"/>
      <c r="N7" s="798"/>
      <c r="O7" s="798"/>
      <c r="P7" s="798"/>
      <c r="Q7" s="798"/>
      <c r="R7" s="798"/>
    </row>
    <row r="8" spans="1:29">
      <c r="A8" s="2441"/>
      <c r="B8" s="323" t="s">
        <v>2259</v>
      </c>
      <c r="C8" s="2469" t="s">
        <v>2260</v>
      </c>
      <c r="D8" s="2470"/>
      <c r="E8" s="2470"/>
      <c r="F8" s="2474"/>
      <c r="G8" s="2474"/>
      <c r="H8" s="798"/>
      <c r="I8" s="798"/>
      <c r="J8" s="798"/>
      <c r="K8" s="798"/>
      <c r="L8" s="798"/>
      <c r="M8" s="798"/>
      <c r="N8" s="798"/>
      <c r="O8" s="798"/>
      <c r="P8" s="798"/>
      <c r="Q8" s="798"/>
      <c r="R8" s="798"/>
    </row>
    <row r="9" spans="1:29" ht="24">
      <c r="A9" s="2441"/>
      <c r="B9" s="323" t="s">
        <v>2263</v>
      </c>
      <c r="C9" s="2467" t="s">
        <v>2264</v>
      </c>
      <c r="D9" s="2464"/>
      <c r="E9" s="2470"/>
      <c r="F9" s="2474"/>
      <c r="G9" s="2474"/>
      <c r="H9" s="798"/>
      <c r="I9" s="798"/>
      <c r="J9" s="798"/>
      <c r="K9" s="798"/>
      <c r="L9" s="798"/>
      <c r="M9" s="798"/>
      <c r="N9" s="798"/>
      <c r="O9" s="798"/>
      <c r="P9" s="798"/>
      <c r="Q9" s="798"/>
      <c r="R9" s="798"/>
    </row>
    <row r="10" spans="1:29" s="2480" customFormat="1" ht="15" thickBot="1">
      <c r="A10" s="2442"/>
      <c r="B10" s="2475" t="s">
        <v>2265</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2266</v>
      </c>
      <c r="D14" s="2464"/>
      <c r="E14" s="2495"/>
      <c r="F14" s="2495"/>
      <c r="G14" s="2459" t="s">
        <v>2267</v>
      </c>
    </row>
    <row r="15" spans="1:29" ht="51">
      <c r="A15" s="2443" t="s">
        <v>2268</v>
      </c>
      <c r="B15" s="2496" t="s">
        <v>2248</v>
      </c>
      <c r="C15" s="2497" t="str">
        <f>C3</f>
        <v>估价对象周边居住用地比例、居住小区规模和社区发展完善程度，综合评价居住社区成熟度一般</v>
      </c>
      <c r="D15" s="2464"/>
      <c r="E15" s="2444" t="s">
        <v>2269</v>
      </c>
      <c r="F15" s="2496" t="s">
        <v>2270</v>
      </c>
      <c r="G15" s="2498" t="str">
        <f>G3</f>
        <v>估价对象位于XX开发区，园区建设成熟度XX，产业集聚程度XX</v>
      </c>
    </row>
    <row r="16" spans="1:29" ht="38.25">
      <c r="A16" s="2445"/>
      <c r="B16" s="2499" t="s">
        <v>2250</v>
      </c>
      <c r="C16" s="2500" t="str">
        <f>C4</f>
        <v>估价对象位于XX商圈，周边商业氛围成熟，人流量大，商业繁华度好</v>
      </c>
      <c r="D16" s="2464"/>
      <c r="E16" s="2446"/>
      <c r="F16" s="2501" t="s">
        <v>2252</v>
      </c>
      <c r="G16" s="2502" t="str">
        <f>G4</f>
        <v>估价对象周边道路状况、公共交通通达情况、停车便捷程度，综合评价交通便捷度较好</v>
      </c>
    </row>
    <row r="17" spans="1:18" ht="38.25">
      <c r="A17" s="2445"/>
      <c r="B17" s="2499" t="s">
        <v>2254</v>
      </c>
      <c r="C17" s="2500" t="str">
        <f>C5</f>
        <v>估价对象位于XX商圈，周边办公楼项目较多，入驻率高，办公集聚程度较好</v>
      </c>
      <c r="D17" s="2470"/>
      <c r="E17" s="2446"/>
      <c r="F17" s="2501" t="s">
        <v>2271</v>
      </c>
      <c r="G17" s="2503"/>
    </row>
    <row r="18" spans="1:18" ht="38.25">
      <c r="A18" s="2445"/>
      <c r="B18" s="2501" t="s">
        <v>2258</v>
      </c>
      <c r="C18" s="2502" t="str">
        <f>C6</f>
        <v>估价对象周边道路状况、公共交通通达情况、停车便捷程度，综合评价交通便捷度较好</v>
      </c>
      <c r="D18" s="2470"/>
      <c r="E18" s="2446"/>
      <c r="F18" s="2501" t="s">
        <v>2261</v>
      </c>
      <c r="G18" s="2502" t="str">
        <f>G7</f>
        <v>该园区内是否有污染型企业，绿化情况，卫生条件，整体环境状况判断</v>
      </c>
    </row>
    <row r="19" spans="1:18" ht="25.5">
      <c r="A19" s="2445"/>
      <c r="B19" s="2501" t="s">
        <v>2272</v>
      </c>
      <c r="C19" s="2503"/>
      <c r="D19" s="2464"/>
      <c r="E19" s="2446"/>
      <c r="F19" s="323" t="s">
        <v>2256</v>
      </c>
      <c r="G19" s="2502" t="str">
        <f>G5</f>
        <v>估价对象所在区域公共配套设施齐备情况</v>
      </c>
    </row>
    <row r="20" spans="1:18" ht="25.5">
      <c r="A20" s="2445"/>
      <c r="B20" s="2501" t="s">
        <v>2273</v>
      </c>
      <c r="C20" s="2500" t="str">
        <f>C9</f>
        <v>区域自然环境：；人文环境；综合评价环境状况一般</v>
      </c>
      <c r="D20" s="2470"/>
      <c r="E20" s="2446"/>
      <c r="F20" s="323" t="s">
        <v>2259</v>
      </c>
      <c r="G20" s="2502" t="str">
        <f>G6</f>
        <v>估价对象所在区域基础设施水平</v>
      </c>
    </row>
    <row r="21" spans="1:18" ht="25.5">
      <c r="A21" s="2445"/>
      <c r="B21" s="323" t="s">
        <v>2256</v>
      </c>
      <c r="C21" s="2502" t="str">
        <f>C7</f>
        <v>估价对象所在区域公共配套设施齐备情况</v>
      </c>
      <c r="D21" s="2464"/>
      <c r="E21" s="2446"/>
      <c r="F21" s="2501" t="s">
        <v>2274</v>
      </c>
      <c r="G21" s="2504"/>
    </row>
    <row r="22" spans="1:18" ht="13.5" customHeight="1">
      <c r="A22" s="2445"/>
      <c r="B22" s="323" t="s">
        <v>2259</v>
      </c>
      <c r="C22" s="2502" t="str">
        <f>C8</f>
        <v>估价对象所在区域基础设施水平</v>
      </c>
      <c r="D22" s="2464"/>
      <c r="E22" s="2446"/>
      <c r="F22" s="2501" t="s">
        <v>2265</v>
      </c>
      <c r="G22" s="2503"/>
    </row>
    <row r="23" spans="1:18" s="798" customFormat="1" ht="15" thickBot="1">
      <c r="A23" s="2445"/>
      <c r="B23" s="2501" t="s">
        <v>2274</v>
      </c>
      <c r="C23" s="2504"/>
      <c r="D23" s="1740"/>
      <c r="E23" s="2447"/>
      <c r="F23" s="2505" t="s">
        <v>2275</v>
      </c>
      <c r="G23" s="2506"/>
      <c r="H23" s="2490"/>
      <c r="I23" s="2491"/>
      <c r="J23" s="2490"/>
      <c r="K23" s="2490"/>
      <c r="L23" s="2491"/>
      <c r="M23" s="2490"/>
      <c r="N23" s="2490"/>
      <c r="O23" s="2491"/>
      <c r="P23" s="2490"/>
      <c r="Q23" s="2490"/>
      <c r="R23" s="2492"/>
    </row>
    <row r="24" spans="1:18" s="798" customFormat="1" ht="15" thickBot="1">
      <c r="A24" s="2448"/>
      <c r="B24" s="2505" t="s">
        <v>2276</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9"/>
  <sheetViews>
    <sheetView workbookViewId="0">
      <selection activeCell="K14" sqref="K14"/>
    </sheetView>
  </sheetViews>
  <sheetFormatPr defaultRowHeight="13.5"/>
  <cols>
    <col min="1" max="3" width="9" style="3252"/>
    <col min="4" max="4" width="12.25" style="3252" customWidth="1"/>
    <col min="5" max="5" width="15" style="3252" customWidth="1"/>
    <col min="6" max="6" width="9" style="3252"/>
    <col min="7" max="7" width="10.375" style="3252" customWidth="1"/>
    <col min="8" max="8" width="11.125" style="3252" customWidth="1"/>
    <col min="9" max="16384" width="9" style="3252"/>
  </cols>
  <sheetData>
    <row r="2" spans="2:9">
      <c r="B2" s="3483" t="s">
        <v>3475</v>
      </c>
      <c r="C2" s="3483" t="s">
        <v>3476</v>
      </c>
      <c r="D2" s="3483" t="s">
        <v>3477</v>
      </c>
      <c r="E2" s="3483" t="s">
        <v>3478</v>
      </c>
      <c r="F2" s="3483" t="s">
        <v>3479</v>
      </c>
      <c r="G2" s="3483" t="s">
        <v>3481</v>
      </c>
      <c r="H2" s="3483" t="s">
        <v>3480</v>
      </c>
    </row>
    <row r="3" spans="2:9">
      <c r="B3" s="3252">
        <v>571.24</v>
      </c>
      <c r="C3" s="3252">
        <v>571.24</v>
      </c>
      <c r="D3" s="3484">
        <v>45383</v>
      </c>
      <c r="E3" s="3484">
        <v>45747</v>
      </c>
      <c r="F3" s="3252">
        <v>14.5</v>
      </c>
      <c r="G3" s="3252">
        <v>251940.64</v>
      </c>
      <c r="H3" s="3252">
        <f>G3*12</f>
        <v>3023287.68</v>
      </c>
    </row>
    <row r="4" spans="2:9">
      <c r="D4" s="3484">
        <v>45748</v>
      </c>
      <c r="E4" s="3484">
        <v>46112</v>
      </c>
      <c r="F4" s="3252">
        <v>14.5</v>
      </c>
      <c r="G4" s="3252">
        <v>251940.64</v>
      </c>
      <c r="H4" s="3252">
        <f t="shared" ref="H4:H7" si="0">G4*12</f>
        <v>3023287.68</v>
      </c>
    </row>
    <row r="5" spans="2:9">
      <c r="D5" s="3484">
        <v>46113</v>
      </c>
      <c r="E5" s="3484">
        <v>46477</v>
      </c>
      <c r="F5" s="3252">
        <v>14.5</v>
      </c>
      <c r="G5" s="3252">
        <v>251940.64</v>
      </c>
      <c r="H5" s="3252">
        <f t="shared" si="0"/>
        <v>3023287.68</v>
      </c>
    </row>
    <row r="6" spans="2:9">
      <c r="D6" s="3484">
        <v>46478</v>
      </c>
      <c r="E6" s="3484">
        <v>46843</v>
      </c>
      <c r="F6" s="3252">
        <v>14.5</v>
      </c>
      <c r="G6" s="3252">
        <v>251940.64</v>
      </c>
      <c r="H6" s="3252">
        <f t="shared" si="0"/>
        <v>3023287.68</v>
      </c>
    </row>
    <row r="7" spans="2:9">
      <c r="D7" s="3484">
        <v>46844</v>
      </c>
      <c r="E7" s="3484">
        <v>47208</v>
      </c>
      <c r="F7" s="3252">
        <v>14.5</v>
      </c>
      <c r="G7" s="3252">
        <v>251940.64</v>
      </c>
      <c r="H7" s="3252">
        <f t="shared" si="0"/>
        <v>3023287.68</v>
      </c>
    </row>
    <row r="8" spans="2:9">
      <c r="D8" s="3484"/>
      <c r="E8" s="3484"/>
    </row>
    <row r="9" spans="2:9">
      <c r="D9" s="3483" t="s">
        <v>3482</v>
      </c>
    </row>
    <row r="10" spans="2:9">
      <c r="D10" s="3485">
        <f>系统读取表!B3</f>
        <v>45940</v>
      </c>
      <c r="E10" s="3484">
        <f>E4</f>
        <v>46112</v>
      </c>
      <c r="F10" s="3252">
        <v>14.5</v>
      </c>
      <c r="G10" s="3252">
        <f>H10/I10*30</f>
        <v>248489.4</v>
      </c>
      <c r="H10" s="3252">
        <f>F10*I10*C3</f>
        <v>1424672.56</v>
      </c>
      <c r="I10" s="3252">
        <f>E10-D10</f>
        <v>172</v>
      </c>
    </row>
    <row r="11" spans="2:9">
      <c r="D11" s="3484">
        <v>46113</v>
      </c>
      <c r="E11" s="3484">
        <v>46477</v>
      </c>
      <c r="F11" s="3252">
        <v>14.5</v>
      </c>
      <c r="G11" s="3252">
        <v>251940.64</v>
      </c>
      <c r="H11" s="3252">
        <f t="shared" ref="H11:H13" si="1">G11*12</f>
        <v>3023287.68</v>
      </c>
    </row>
    <row r="12" spans="2:9">
      <c r="D12" s="3484">
        <v>46478</v>
      </c>
      <c r="E12" s="3484">
        <v>46843</v>
      </c>
      <c r="F12" s="3252">
        <v>14.5</v>
      </c>
      <c r="G12" s="3252">
        <v>251940.64</v>
      </c>
      <c r="H12" s="3252">
        <f t="shared" si="1"/>
        <v>3023287.68</v>
      </c>
    </row>
    <row r="13" spans="2:9">
      <c r="D13" s="3484">
        <v>46844</v>
      </c>
      <c r="E13" s="3484">
        <v>47208</v>
      </c>
      <c r="F13" s="3252">
        <v>14.5</v>
      </c>
      <c r="G13" s="3252">
        <v>251940.64</v>
      </c>
      <c r="H13" s="3252">
        <f t="shared" si="1"/>
        <v>3023287.68</v>
      </c>
    </row>
    <row r="14" spans="2:9">
      <c r="H14" s="3252">
        <f>SUM(H10:H13)</f>
        <v>10494535.6</v>
      </c>
    </row>
    <row r="15" spans="2:9">
      <c r="D15" s="3483" t="s">
        <v>3483</v>
      </c>
      <c r="E15" s="3252">
        <f>ROUND((E13-D10)/365,2)</f>
        <v>3.47</v>
      </c>
    </row>
    <row r="16" spans="2:9">
      <c r="D16" s="3483" t="s">
        <v>3484</v>
      </c>
      <c r="E16" s="3252">
        <f>H14/E15/365/C3</f>
        <v>14.505151707366736</v>
      </c>
    </row>
    <row r="19" spans="4:4">
      <c r="D19" s="3483"/>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15" sqref="F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571.24</v>
      </c>
      <c r="C1" s="2685"/>
      <c r="D1" s="2685"/>
      <c r="E1" s="2685"/>
      <c r="F1" s="2685"/>
      <c r="G1" s="2686"/>
      <c r="H1" s="2687"/>
      <c r="I1" s="2687"/>
      <c r="J1" s="2687"/>
      <c r="K1" s="2687"/>
    </row>
    <row r="2" spans="1:11" ht="16.5">
      <c r="A2" s="2511" t="s">
        <v>653</v>
      </c>
      <c r="B2" s="2511">
        <f>SUM(C14:C23)</f>
        <v>62.48</v>
      </c>
      <c r="C2" s="2685"/>
      <c r="D2" s="2685"/>
      <c r="E2" s="2685"/>
      <c r="F2" s="2685"/>
      <c r="G2" s="2686"/>
      <c r="H2" s="2687"/>
      <c r="I2" s="2687"/>
      <c r="J2" s="2687"/>
      <c r="K2" s="2687"/>
    </row>
    <row r="3" spans="1:11" ht="16.5">
      <c r="A3" s="2511" t="s">
        <v>662</v>
      </c>
      <c r="B3" s="2513">
        <f>项目基本情况!D3</f>
        <v>45940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3209</v>
      </c>
      <c r="C5" s="2511">
        <f ca="1">IF(B5=D14,结果表!H102,ROUND(B5*10000/$B$1,0))</f>
        <v>56169</v>
      </c>
      <c r="D5" s="2511">
        <f ca="1">ROUND(B5*10000/$B$2,0)</f>
        <v>513604</v>
      </c>
      <c r="E5" s="2685"/>
      <c r="F5" s="2686"/>
      <c r="G5" s="2686"/>
      <c r="H5" s="2687"/>
      <c r="I5" s="2687"/>
      <c r="J5" s="2687"/>
      <c r="K5" s="2687"/>
    </row>
    <row r="6" spans="1:11" ht="16.5">
      <c r="A6" s="2511" t="s">
        <v>656</v>
      </c>
      <c r="B6" s="2511">
        <f ca="1">SUM(G14:G23)</f>
        <v>3209</v>
      </c>
      <c r="C6" s="2511">
        <f ca="1">IF(B6=G14,结果表!H108,ROUND(B6*10000/$B$1,0))</f>
        <v>56169</v>
      </c>
      <c r="D6" s="2511">
        <f ca="1">ROUND(B6*10000/$B$2,0)</f>
        <v>513604</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 ca="1">SUM(I14:I23)</f>
        <v>2883</v>
      </c>
      <c r="C8" s="2511" t="str">
        <f ca="1">IF(B8=I14,结果表!H112,ROUND(B8*10000/$B$1,0))</f>
        <v>——</v>
      </c>
      <c r="D8" s="2511">
        <f ca="1">ROUND(B8*10000/$B$2,0)</f>
        <v>461428</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3350</v>
      </c>
      <c r="D10" s="2511" t="s">
        <v>3351</v>
      </c>
      <c r="E10" s="3439"/>
      <c r="F10" s="3443" t="s">
        <v>3352</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571.24</v>
      </c>
      <c r="C14" s="2517">
        <f>'数据-基础表'!A3</f>
        <v>62.48</v>
      </c>
      <c r="D14" s="2517">
        <f ca="1">结果表!G19</f>
        <v>3209</v>
      </c>
      <c r="E14" s="2517">
        <f ca="1">结果表!G20</f>
        <v>56169</v>
      </c>
      <c r="F14" s="2517">
        <f ca="1">结果表!G21</f>
        <v>513604</v>
      </c>
      <c r="G14" s="2517">
        <f ca="1">D14</f>
        <v>3209</v>
      </c>
      <c r="H14" s="2517"/>
      <c r="I14" s="2517">
        <f ca="1">结果表!P59</f>
        <v>2883</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2" zoomScaleNormal="100" zoomScaleSheetLayoutView="100" zoomScalePageLayoutView="80" workbookViewId="0">
      <selection activeCell="P59" sqref="P5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6" t="str">
        <f>项目基本情况!S2</f>
        <v>北京市西城区金融大街27号7层A座701等[5]套办公用房房地产</v>
      </c>
      <c r="B2" s="3657"/>
      <c r="C2" s="3657"/>
      <c r="D2" s="3657"/>
      <c r="E2" s="3657"/>
      <c r="F2" s="3657"/>
      <c r="G2" s="3657"/>
      <c r="H2" s="3657"/>
      <c r="I2" s="3658"/>
    </row>
    <row r="3" spans="1:12" ht="12.75">
      <c r="A3" s="3660" t="s">
        <v>1264</v>
      </c>
      <c r="B3" s="3661"/>
      <c r="C3" s="3661"/>
      <c r="D3" s="3661"/>
      <c r="E3" s="3661"/>
      <c r="F3" s="3661"/>
      <c r="G3" s="3661"/>
      <c r="H3" s="3661"/>
      <c r="I3" s="3661"/>
    </row>
    <row r="4" spans="1:12" ht="14.25">
      <c r="A4" s="1753" t="s">
        <v>1265</v>
      </c>
      <c r="B4" s="1754" t="s">
        <v>1266</v>
      </c>
      <c r="C4" s="1755" t="s">
        <v>3435</v>
      </c>
      <c r="D4" s="1755" t="s">
        <v>3429</v>
      </c>
      <c r="E4" s="3665" t="s">
        <v>1267</v>
      </c>
      <c r="F4" s="3666"/>
      <c r="G4" s="3666"/>
      <c r="H4" s="3666"/>
      <c r="I4" s="366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659">
        <v>25</v>
      </c>
      <c r="C5" s="3662"/>
      <c r="D5" s="3650"/>
      <c r="E5" s="131" t="s">
        <v>1269</v>
      </c>
      <c r="F5" s="1756"/>
      <c r="G5" s="1756"/>
      <c r="H5" s="1756"/>
      <c r="I5" s="1372"/>
    </row>
    <row r="6" spans="1:12" ht="12.75">
      <c r="A6" s="3604"/>
      <c r="B6" s="3659"/>
      <c r="C6" s="3664"/>
      <c r="D6" s="3650"/>
      <c r="E6" s="131" t="s">
        <v>1270</v>
      </c>
      <c r="F6" s="1756"/>
      <c r="G6" s="1756"/>
      <c r="H6" s="1756"/>
      <c r="I6" s="1372"/>
    </row>
    <row r="7" spans="1:12" ht="12.75">
      <c r="A7" s="3604"/>
      <c r="B7" s="3659"/>
      <c r="C7" s="3663"/>
      <c r="D7" s="3650"/>
      <c r="E7" s="131" t="s">
        <v>1271</v>
      </c>
      <c r="F7" s="1756"/>
      <c r="G7" s="1756"/>
      <c r="H7" s="1756"/>
      <c r="I7" s="1372"/>
    </row>
    <row r="8" spans="1:12" ht="12.75">
      <c r="A8" s="3604" t="s">
        <v>1272</v>
      </c>
      <c r="B8" s="3659">
        <v>15</v>
      </c>
      <c r="C8" s="3662"/>
      <c r="D8" s="3650"/>
      <c r="E8" s="131" t="s">
        <v>1273</v>
      </c>
      <c r="F8" s="1756"/>
      <c r="G8" s="1756"/>
      <c r="H8" s="1756"/>
      <c r="I8" s="1372"/>
    </row>
    <row r="9" spans="1:12" ht="12.75">
      <c r="A9" s="3604"/>
      <c r="B9" s="3659"/>
      <c r="C9" s="3663"/>
      <c r="D9" s="3650"/>
      <c r="E9" s="131" t="s">
        <v>1274</v>
      </c>
      <c r="F9" s="1756"/>
      <c r="G9" s="1756"/>
      <c r="H9" s="1756"/>
      <c r="I9" s="1372"/>
    </row>
    <row r="10" spans="1:12" ht="12.75">
      <c r="A10" s="3604" t="s">
        <v>1275</v>
      </c>
      <c r="B10" s="3659">
        <v>15</v>
      </c>
      <c r="C10" s="3662"/>
      <c r="D10" s="3650"/>
      <c r="E10" s="131" t="s">
        <v>1276</v>
      </c>
      <c r="F10" s="1756"/>
      <c r="G10" s="1756"/>
      <c r="H10" s="1756"/>
      <c r="I10" s="1372"/>
    </row>
    <row r="11" spans="1:12" ht="12.75">
      <c r="A11" s="3604"/>
      <c r="B11" s="3659"/>
      <c r="C11" s="3663"/>
      <c r="D11" s="3650"/>
      <c r="E11" s="131" t="s">
        <v>1277</v>
      </c>
      <c r="F11" s="1756"/>
      <c r="G11" s="1756"/>
      <c r="H11" s="1756"/>
      <c r="I11" s="1372"/>
    </row>
    <row r="12" spans="1:12" ht="12.75">
      <c r="A12" s="3604" t="s">
        <v>1278</v>
      </c>
      <c r="B12" s="3659">
        <v>15</v>
      </c>
      <c r="C12" s="3662"/>
      <c r="D12" s="3650"/>
      <c r="E12" s="131" t="s">
        <v>1279</v>
      </c>
      <c r="F12" s="1756"/>
      <c r="G12" s="1756"/>
      <c r="H12" s="1756"/>
      <c r="I12" s="1372"/>
    </row>
    <row r="13" spans="1:12" ht="12.75">
      <c r="A13" s="3604"/>
      <c r="B13" s="3659"/>
      <c r="C13" s="3663"/>
      <c r="D13" s="3650"/>
      <c r="E13" s="131" t="s">
        <v>1280</v>
      </c>
      <c r="F13" s="1756"/>
      <c r="G13" s="1756"/>
      <c r="H13" s="1756"/>
      <c r="I13" s="1372"/>
    </row>
    <row r="14" spans="1:12" ht="12.75">
      <c r="A14" s="3604" t="s">
        <v>1281</v>
      </c>
      <c r="B14" s="3659">
        <v>30</v>
      </c>
      <c r="C14" s="3662">
        <v>65</v>
      </c>
      <c r="D14" s="3650">
        <v>35</v>
      </c>
      <c r="E14" s="131" t="s">
        <v>1282</v>
      </c>
      <c r="F14" s="1756"/>
      <c r="G14" s="1756"/>
      <c r="H14" s="1756"/>
      <c r="I14" s="1372"/>
    </row>
    <row r="15" spans="1:12" ht="12.75">
      <c r="A15" s="3604"/>
      <c r="B15" s="3659"/>
      <c r="C15" s="3664"/>
      <c r="D15" s="3650"/>
      <c r="E15" s="131" t="s">
        <v>1283</v>
      </c>
      <c r="F15" s="1756"/>
      <c r="G15" s="1756"/>
      <c r="H15" s="1756"/>
      <c r="I15" s="1372"/>
    </row>
    <row r="16" spans="1:12" ht="12.75">
      <c r="A16" s="3604"/>
      <c r="B16" s="3659"/>
      <c r="C16" s="3663"/>
      <c r="D16" s="3650"/>
      <c r="E16" s="131" t="s">
        <v>1284</v>
      </c>
      <c r="F16" s="1756"/>
      <c r="G16" s="1756"/>
      <c r="H16" s="1756"/>
      <c r="I16" s="1372"/>
    </row>
    <row r="17" spans="1:36" ht="15">
      <c r="A17" s="1757" t="s">
        <v>1285</v>
      </c>
      <c r="B17" s="56"/>
      <c r="C17" s="132">
        <f>SUM(C5:C16)</f>
        <v>65</v>
      </c>
      <c r="D17" s="132">
        <f>SUM(D5:D16)</f>
        <v>35</v>
      </c>
      <c r="E17" s="129"/>
      <c r="F17" s="129"/>
      <c r="G17" s="129"/>
      <c r="H17" s="129"/>
      <c r="I17" s="129"/>
      <c r="K17" s="302"/>
      <c r="L17" s="302" t="s">
        <v>1286</v>
      </c>
      <c r="M17" s="302" t="s">
        <v>1287</v>
      </c>
    </row>
    <row r="18" spans="1:36" ht="31.9" customHeight="1" thickBot="1">
      <c r="A18" s="1758" t="s">
        <v>1288</v>
      </c>
      <c r="B18" s="1759"/>
      <c r="C18" s="133">
        <f>ROUND(C17/SUM(C17:D17),2)</f>
        <v>0.65</v>
      </c>
      <c r="D18" s="133">
        <f>1-C18</f>
        <v>0.35</v>
      </c>
      <c r="E18" s="3681" t="s">
        <v>2127</v>
      </c>
      <c r="F18" s="3682"/>
      <c r="G18" s="3682"/>
      <c r="H18" s="3682"/>
      <c r="I18" s="3682"/>
      <c r="K18" s="302" t="s">
        <v>1289</v>
      </c>
      <c r="L18" s="302">
        <f>IF(C1="",'数据-汇总表'!E3,SUMIF(项目类型,C1,'数据-汇总表'!E17:E26)+SUMIF(项目类型,C1,'数据-汇总表'!I17:I26))</f>
        <v>571.24</v>
      </c>
      <c r="M18" s="302">
        <f>IF(C1="",'数据-汇总表'!E3,SUMIF(项目类型,C1,'数据-汇总表'!E17:E26))</f>
        <v>571.24</v>
      </c>
    </row>
    <row r="19" spans="1:36" ht="15">
      <c r="A19" s="1760" t="s">
        <v>1290</v>
      </c>
      <c r="B19" s="1761" t="s">
        <v>1291</v>
      </c>
      <c r="C19" s="134">
        <f ca="1">SUMIF(INDIRECT("'"&amp;C4&amp;"'"&amp;"!A:A"),结果表!B19,INDIRECT("'"&amp;C4&amp;"'"&amp;"!B:B"))</f>
        <v>4167.8813</v>
      </c>
      <c r="D19" s="135">
        <f ca="1">SUMIF(INDIRECT("'"&amp;D4&amp;"'"&amp;"!A:A"),结果表!B19,INDIRECT("'"&amp;D4&amp;"'"&amp;"!B:B"))</f>
        <v>1427.1355000000001</v>
      </c>
      <c r="E19" s="1760" t="s">
        <v>1292</v>
      </c>
      <c r="F19" s="1761" t="s">
        <v>1291</v>
      </c>
      <c r="G19" s="136">
        <f ca="1">ROUND(C19*$C$18+D19*$D$18,0)</f>
        <v>3209</v>
      </c>
      <c r="H19" s="1762" t="s">
        <v>1293</v>
      </c>
      <c r="I19" s="129"/>
      <c r="K19" s="302" t="s">
        <v>1294</v>
      </c>
      <c r="L19" s="302">
        <f>IF(C1="",'数据-汇总表'!D3,SUMIF(项目类型,C1,'数据-汇总表'!D17:D26)+SUMIF(项目类型,C1,'数据-汇总表'!H17:H27))</f>
        <v>62.48</v>
      </c>
      <c r="M19" s="302">
        <f>IF(C1="",'数据-汇总表'!D3,SUMIF(项目类型,C1,'数据-汇总表'!D17:D26))</f>
        <v>62.48</v>
      </c>
    </row>
    <row r="20" spans="1:36" ht="15">
      <c r="A20" s="1763"/>
      <c r="B20" s="1025" t="s">
        <v>1295</v>
      </c>
      <c r="C20" s="137">
        <f ca="1">SUMIF(INDIRECT("'"&amp;C4&amp;"'"&amp;"!A:A"),结果表!B20,INDIRECT("'"&amp;C4&amp;"'"&amp;"!B:B"))</f>
        <v>72962</v>
      </c>
      <c r="D20" s="138">
        <f ca="1">SUMIF(INDIRECT("'"&amp;D4&amp;"'"&amp;"!A:A"),结果表!B20,INDIRECT("'"&amp;D4&amp;"'"&amp;"!B:B"))</f>
        <v>24983</v>
      </c>
      <c r="E20" s="1763"/>
      <c r="F20" s="1025" t="s">
        <v>1295</v>
      </c>
      <c r="G20" s="139">
        <f ca="1">ROUND(C20*$C$18+D20*$D$18,0)</f>
        <v>56169</v>
      </c>
      <c r="H20" s="807" t="s">
        <v>1296</v>
      </c>
      <c r="I20" s="129"/>
    </row>
    <row r="21" spans="1:36" ht="15" customHeight="1" thickBot="1">
      <c r="A21" s="827"/>
      <c r="B21" s="1764" t="s">
        <v>1297</v>
      </c>
      <c r="C21" s="718">
        <f ca="1">ROUND(C19*10000/L19,0)</f>
        <v>667074</v>
      </c>
      <c r="D21" s="719">
        <f ca="1">ROUND(D19*10000/L19,0)</f>
        <v>228415</v>
      </c>
      <c r="E21" s="827"/>
      <c r="F21" s="1764" t="s">
        <v>1297</v>
      </c>
      <c r="G21" s="140">
        <f ca="1">ROUND(G19*10000/L19,0)</f>
        <v>513604</v>
      </c>
      <c r="H21" s="1765" t="s">
        <v>1296</v>
      </c>
      <c r="I21" s="129"/>
    </row>
    <row r="22" spans="1:36" ht="15" thickBot="1">
      <c r="A22" s="1687" t="s">
        <v>1298</v>
      </c>
      <c r="B22" s="1766"/>
      <c r="C22" s="1767"/>
      <c r="D22" s="720">
        <f ca="1">IF(C19&lt;D19,D19/C19-1,C19/D19-1)</f>
        <v>1.9204524027326064</v>
      </c>
      <c r="E22" s="129"/>
      <c r="F22" s="129"/>
      <c r="G22" s="129"/>
      <c r="H22" s="129"/>
      <c r="I22" s="129"/>
    </row>
    <row r="23" spans="1:36" ht="13.5" thickBot="1">
      <c r="A23" s="1746"/>
      <c r="B23" s="1746"/>
      <c r="C23" s="1746"/>
      <c r="D23" s="1746"/>
      <c r="E23" s="129"/>
      <c r="F23" s="129"/>
      <c r="G23" s="129"/>
      <c r="H23" s="129"/>
      <c r="I23" s="129"/>
    </row>
    <row r="24" spans="1:36" ht="14.25">
      <c r="A24" s="3674" t="s">
        <v>1299</v>
      </c>
      <c r="B24" s="1761" t="s">
        <v>1291</v>
      </c>
      <c r="C24" s="136">
        <f>IF(B30=0,0,D30)</f>
        <v>0</v>
      </c>
      <c r="D24" s="1768"/>
      <c r="E24" s="129"/>
      <c r="F24" s="129"/>
      <c r="G24" s="129"/>
      <c r="H24" s="129"/>
      <c r="I24" s="129"/>
    </row>
    <row r="25" spans="1:36" ht="14.25">
      <c r="A25" s="367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2128</v>
      </c>
      <c r="F30" s="129"/>
      <c r="G30" s="129"/>
      <c r="H30" s="129"/>
      <c r="I30" s="129"/>
    </row>
    <row r="31" spans="1:36" s="2308" customFormat="1" ht="26.45" customHeight="1" thickTop="1" thickBot="1">
      <c r="A31" s="2303"/>
      <c r="B31" s="2304"/>
      <c r="C31" s="2304"/>
      <c r="D31" s="2304"/>
      <c r="E31" s="2304"/>
      <c r="F31" s="2304"/>
      <c r="G31" s="2304"/>
      <c r="H31" s="2304"/>
      <c r="I31" s="2305" t="s">
        <v>2129</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56169</v>
      </c>
      <c r="D32" s="1774" t="s">
        <v>3433</v>
      </c>
      <c r="E32" s="129"/>
      <c r="F32" s="129"/>
      <c r="G32" s="129"/>
      <c r="H32" s="129"/>
      <c r="I32" s="129"/>
    </row>
    <row r="33" spans="1:15" ht="15">
      <c r="A33" s="785" t="s">
        <v>1306</v>
      </c>
      <c r="B33" s="1775"/>
      <c r="C33" s="1776" t="s">
        <v>3434</v>
      </c>
      <c r="D33" s="1777" t="s">
        <v>3429</v>
      </c>
      <c r="E33" s="1778" t="s">
        <v>1307</v>
      </c>
      <c r="F33" s="1779" t="str">
        <f>IF(D32="楼面单价","取值（单价）","取值（总价）")</f>
        <v>取值（单价）</v>
      </c>
      <c r="G33" s="129"/>
      <c r="H33" s="129"/>
      <c r="I33" s="129"/>
    </row>
    <row r="34" spans="1:15" ht="15">
      <c r="A34" s="1780"/>
      <c r="B34" s="1781" t="s">
        <v>1308</v>
      </c>
      <c r="C34" s="148">
        <f ca="1">IF(C33="自定义",F34,C32-C35)</f>
        <v>42969</v>
      </c>
      <c r="D34" s="860">
        <f ca="1">IF(C33="自定义",ROUND(C34/C32,3),IF(C33="收益比率",SUMIF(INDIRECT("'"&amp;D33&amp;"'"&amp;"!b:b"),"土地收益比率",INDIRECT("'"&amp;D33&amp;"'"&amp;"!c:c")),SUMIF(INDIRECT("'"&amp;D33&amp;"'"&amp;"!b:b"),"土地成本比率",INDIRECT("'"&amp;D33&amp;"'"&amp;"!c:c"))))</f>
        <v>0.76500000000000001</v>
      </c>
      <c r="E34" s="1782" t="s">
        <v>1309</v>
      </c>
      <c r="F34" s="1329"/>
      <c r="G34" s="129"/>
      <c r="H34" s="129"/>
      <c r="I34" s="129"/>
    </row>
    <row r="35" spans="1:15" ht="15.75" thickBot="1">
      <c r="A35" s="1783"/>
      <c r="B35" s="1784" t="s">
        <v>1310</v>
      </c>
      <c r="C35" s="1169">
        <f ca="1">IF(C33="自定义",F35,ROUND(C32*D35,0))</f>
        <v>13200</v>
      </c>
      <c r="D35" s="1170">
        <f ca="1">IF(C33="自定义",ROUND(C35/C32,3),IF(C33="收益比率",SUMIF(INDIRECT("'"&amp;D33&amp;"'"&amp;"!b:b"),"建筑物收益比率",INDIRECT("'"&amp;D33&amp;"'"&amp;"!c:c")),SUMIF(INDIRECT("'"&amp;D33&amp;"'"&amp;"!b:b"),"建筑物成本比率",INDIRECT("'"&amp;D33&amp;"'"&amp;"!c:c"))))</f>
        <v>0.23499999999999999</v>
      </c>
      <c r="E35" s="1785" t="s">
        <v>1311</v>
      </c>
      <c r="F35" s="154"/>
      <c r="G35" s="129"/>
      <c r="H35" s="129"/>
      <c r="I35" s="129"/>
    </row>
    <row r="36" spans="1:15" ht="15.75" thickBot="1">
      <c r="A36" s="3651" t="s">
        <v>1312</v>
      </c>
      <c r="B36" s="1786" t="s">
        <v>1313</v>
      </c>
      <c r="C36" s="145"/>
      <c r="D36" s="1787"/>
      <c r="E36" s="1788"/>
      <c r="F36" s="1789"/>
      <c r="G36" s="129"/>
      <c r="H36" s="129"/>
      <c r="I36" s="129"/>
    </row>
    <row r="37" spans="1:15" ht="15.75" thickBot="1">
      <c r="A37" s="3652"/>
      <c r="B37" s="1673" t="s">
        <v>1314</v>
      </c>
      <c r="C37" s="147"/>
      <c r="D37" s="1138"/>
      <c r="E37" s="1138"/>
      <c r="F37" s="1789"/>
      <c r="G37" s="129"/>
      <c r="H37" s="129"/>
      <c r="I37" s="129"/>
    </row>
    <row r="38" spans="1:15" ht="15.75" thickBot="1">
      <c r="A38" s="3653"/>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1" t="s">
        <v>1326</v>
      </c>
      <c r="B45" s="3672"/>
      <c r="C45" s="3673"/>
      <c r="D45" s="155">
        <f ca="1">ROUND(H101*F45,0)</f>
        <v>3209</v>
      </c>
      <c r="E45" s="156" t="s">
        <v>1327</v>
      </c>
      <c r="F45" s="157">
        <v>1</v>
      </c>
      <c r="G45" s="158" t="s">
        <v>1328</v>
      </c>
      <c r="H45" s="129"/>
      <c r="I45" s="129"/>
      <c r="J45" s="3591" t="s">
        <v>1329</v>
      </c>
      <c r="K45" s="3591"/>
      <c r="L45" s="3591"/>
      <c r="M45" s="3591"/>
      <c r="N45" s="3591"/>
      <c r="O45" s="3591"/>
    </row>
    <row r="46" spans="1:15" ht="14.25" customHeight="1">
      <c r="A46" s="3668" t="s">
        <v>1330</v>
      </c>
      <c r="B46" s="3669"/>
      <c r="C46" s="3669"/>
      <c r="D46" s="3669"/>
      <c r="E46" s="3669"/>
      <c r="F46" s="3669"/>
      <c r="G46" s="3670"/>
      <c r="H46" s="1805"/>
      <c r="I46" s="159"/>
      <c r="J46" s="2522">
        <v>1</v>
      </c>
      <c r="K46" s="3592" t="s">
        <v>1331</v>
      </c>
      <c r="L46" s="3592"/>
      <c r="M46" s="3593"/>
      <c r="N46" s="3593"/>
      <c r="O46" s="3593"/>
    </row>
    <row r="47" spans="1:15" ht="12" customHeight="1">
      <c r="A47" s="160" t="s">
        <v>1332</v>
      </c>
      <c r="B47" s="161"/>
      <c r="C47" s="162"/>
      <c r="D47" s="1086" t="s">
        <v>1333</v>
      </c>
      <c r="E47" s="302" t="s">
        <v>1334</v>
      </c>
      <c r="F47" s="163" t="s">
        <v>1335</v>
      </c>
      <c r="G47" s="2545" t="s">
        <v>1336</v>
      </c>
      <c r="H47" s="2546"/>
      <c r="I47" s="159"/>
      <c r="J47" s="2522">
        <v>2</v>
      </c>
      <c r="K47" s="3592" t="s">
        <v>1337</v>
      </c>
      <c r="L47" s="3592"/>
      <c r="M47" s="3594">
        <f>'数据-取费表'!B2</f>
        <v>45940</v>
      </c>
      <c r="N47" s="3594"/>
      <c r="O47" s="3594"/>
    </row>
    <row r="48" spans="1:15" ht="25.5">
      <c r="A48" s="3654" t="s">
        <v>1338</v>
      </c>
      <c r="B48" s="3655"/>
      <c r="C48" s="3655"/>
      <c r="D48" s="2323">
        <f ca="1">IF(H48="情况1",0,IF(H48="情况2",D52,IF(H48="情况3",D53,IF(H48="情况4",D54))))</f>
        <v>171</v>
      </c>
      <c r="E48" s="2333" t="str">
        <f>IF(H48="情况4","(销售额-原购置价)×税（费）率","销售额×税（费）率")</f>
        <v>(销售额-原购置价)×税（费）率</v>
      </c>
      <c r="F48" s="2547">
        <f>IF(H48="情况1","免征",'数据-取费表'!B41)</f>
        <v>5.6000000000000001E-2</v>
      </c>
      <c r="G48" s="2548" t="s">
        <v>1339</v>
      </c>
      <c r="H48" s="2549" t="s">
        <v>3470</v>
      </c>
      <c r="I48" s="1805"/>
      <c r="J48" s="2522">
        <v>3</v>
      </c>
      <c r="K48" s="3592" t="s">
        <v>1340</v>
      </c>
      <c r="L48" s="3592"/>
      <c r="M48" s="3595">
        <f ca="1">H101</f>
        <v>3209</v>
      </c>
      <c r="N48" s="3595"/>
      <c r="O48" s="3595"/>
    </row>
    <row r="49" spans="1:35" ht="25.5" customHeight="1">
      <c r="A49" s="2332" t="s">
        <v>1341</v>
      </c>
      <c r="B49" s="3640" t="s">
        <v>1342</v>
      </c>
      <c r="C49" s="3640"/>
      <c r="D49" s="1589">
        <v>0</v>
      </c>
      <c r="E49" s="324" t="s">
        <v>1343</v>
      </c>
      <c r="F49" s="2423" t="s">
        <v>28</v>
      </c>
      <c r="G49" s="3623"/>
      <c r="H49" s="2309" t="s">
        <v>2130</v>
      </c>
      <c r="I49" s="2310"/>
      <c r="J49" s="2522">
        <v>4</v>
      </c>
      <c r="K49" s="3592" t="str">
        <f>IF(项目基本情况!E8="房地产抵押价值","房地产抵押价值","抵押担保权已注销时的房地产抵押价值")</f>
        <v>房地产抵押价值</v>
      </c>
      <c r="L49" s="3592"/>
      <c r="M49" s="3595">
        <f ca="1">IF(项目基本情况!E8="房地产抵押价值",H107,H109)</f>
        <v>3209</v>
      </c>
      <c r="N49" s="3595"/>
      <c r="O49" s="3595"/>
    </row>
    <row r="50" spans="1:35" ht="25.5" customHeight="1">
      <c r="A50" s="2550"/>
      <c r="B50" s="3640" t="s">
        <v>1344</v>
      </c>
      <c r="C50" s="3640"/>
      <c r="D50" s="2551"/>
      <c r="E50" s="332"/>
      <c r="F50" s="2423"/>
      <c r="G50" s="3624"/>
      <c r="H50" s="2311" t="s">
        <v>2131</v>
      </c>
      <c r="I50" s="2310"/>
      <c r="J50" s="3591" t="s">
        <v>1345</v>
      </c>
      <c r="K50" s="3591"/>
      <c r="L50" s="3591"/>
      <c r="M50" s="3591"/>
      <c r="N50" s="3591"/>
      <c r="O50" s="3591"/>
    </row>
    <row r="51" spans="1:35" ht="20.45" customHeight="1">
      <c r="A51" s="2552"/>
      <c r="B51" s="3640" t="s">
        <v>1346</v>
      </c>
      <c r="C51" s="3640"/>
      <c r="D51" s="1086"/>
      <c r="E51" s="327"/>
      <c r="F51" s="2423"/>
      <c r="G51" s="3625"/>
      <c r="H51" s="2311" t="s">
        <v>2132</v>
      </c>
      <c r="I51" s="2310"/>
      <c r="J51" s="2523" t="s">
        <v>1347</v>
      </c>
      <c r="K51" s="3592" t="s">
        <v>1348</v>
      </c>
      <c r="L51" s="3592"/>
      <c r="M51" s="2523" t="s">
        <v>1349</v>
      </c>
      <c r="N51" s="2523" t="s">
        <v>1350</v>
      </c>
      <c r="O51" s="2523" t="s">
        <v>1351</v>
      </c>
    </row>
    <row r="52" spans="1:35" ht="24" customHeight="1">
      <c r="A52" s="2334" t="s">
        <v>1352</v>
      </c>
      <c r="B52" s="3640" t="s">
        <v>1353</v>
      </c>
      <c r="C52" s="3640"/>
      <c r="D52" s="1086">
        <f ca="1">ROUND(D45*'数据-取费表'!B41/(1+'数据-取费表'!C42),0)</f>
        <v>171</v>
      </c>
      <c r="E52" s="2333" t="s">
        <v>1354</v>
      </c>
      <c r="F52" s="2553">
        <f>'数据-取费表'!B41</f>
        <v>5.6000000000000001E-2</v>
      </c>
      <c r="G52" s="2554"/>
      <c r="H52" s="2543"/>
      <c r="I52" s="1806"/>
      <c r="J52" s="2522">
        <v>1</v>
      </c>
      <c r="K52" s="3617" t="s">
        <v>1355</v>
      </c>
      <c r="L52" s="3617"/>
      <c r="M52" s="2524">
        <f ca="1">D48</f>
        <v>171</v>
      </c>
      <c r="N52" s="2522" t="str">
        <f>E48</f>
        <v>(销售额-原购置价)×税（费）率</v>
      </c>
      <c r="O52" s="2525">
        <f>F48</f>
        <v>5.6000000000000001E-2</v>
      </c>
      <c r="P52" s="724">
        <f ca="1">M52</f>
        <v>171</v>
      </c>
    </row>
    <row r="53" spans="1:35" ht="12" customHeight="1">
      <c r="A53" s="2334" t="s">
        <v>1356</v>
      </c>
      <c r="B53" s="3641" t="s">
        <v>2287</v>
      </c>
      <c r="C53" s="3642"/>
      <c r="D53" s="1086">
        <f ca="1">ROUND(D45*'数据-取费表'!B41/(1+'数据-取费表'!C42),0)</f>
        <v>171</v>
      </c>
      <c r="E53" s="2333" t="s">
        <v>1354</v>
      </c>
      <c r="F53" s="2553">
        <f>'数据-取费表'!B41</f>
        <v>5.6000000000000001E-2</v>
      </c>
      <c r="G53" s="2554"/>
      <c r="H53" s="2543"/>
      <c r="I53" s="1806"/>
      <c r="J53" s="2522">
        <v>2</v>
      </c>
      <c r="K53" s="3617" t="s">
        <v>1357</v>
      </c>
      <c r="L53" s="3617"/>
      <c r="M53" s="2524">
        <f t="shared" ref="M53:O54" ca="1" si="0">D55</f>
        <v>2</v>
      </c>
      <c r="N53" s="2522" t="str">
        <f t="shared" si="0"/>
        <v>销售额×税（费）率</v>
      </c>
      <c r="O53" s="2525">
        <f t="shared" si="0"/>
        <v>5.0000000000000001E-4</v>
      </c>
      <c r="P53" s="724">
        <f ca="1">M53</f>
        <v>2</v>
      </c>
    </row>
    <row r="54" spans="1:35" ht="12" customHeight="1">
      <c r="A54" s="2334" t="s">
        <v>1358</v>
      </c>
      <c r="B54" s="3641" t="s">
        <v>2288</v>
      </c>
      <c r="C54" s="3642"/>
      <c r="D54" s="1086">
        <f ca="1">C68</f>
        <v>171</v>
      </c>
      <c r="E54" s="327" t="s">
        <v>1359</v>
      </c>
      <c r="F54" s="2553">
        <f>'数据-取费表'!B41</f>
        <v>5.6000000000000001E-2</v>
      </c>
      <c r="G54" s="2554"/>
      <c r="H54" s="2555"/>
      <c r="I54" s="1806"/>
      <c r="J54" s="2522">
        <v>3</v>
      </c>
      <c r="K54" s="3617" t="s">
        <v>1360</v>
      </c>
      <c r="L54" s="3617"/>
      <c r="M54" s="2524">
        <f t="shared" ca="1" si="0"/>
        <v>1817</v>
      </c>
      <c r="N54" s="2522" t="str">
        <f t="shared" si="0"/>
        <v>增值额×税（费）率</v>
      </c>
      <c r="O54" s="2526" t="str">
        <f t="shared" si="0"/>
        <v>——</v>
      </c>
      <c r="P54" s="3497">
        <f ca="1">ROUND(M49*5%/1.05,0)</f>
        <v>153</v>
      </c>
    </row>
    <row r="55" spans="1:35" ht="24" customHeight="1">
      <c r="A55" s="3677" t="s">
        <v>1361</v>
      </c>
      <c r="B55" s="3655"/>
      <c r="C55" s="3655"/>
      <c r="D55" s="2323">
        <f ca="1">IF(H55="个人住宅",0,ROUND(D45*I55,0))</f>
        <v>2</v>
      </c>
      <c r="E55" s="2333" t="s">
        <v>1362</v>
      </c>
      <c r="F55" s="2553">
        <f>IF(H55="正常",I55,"免征")</f>
        <v>5.0000000000000001E-4</v>
      </c>
      <c r="G55" s="2554"/>
      <c r="H55" s="2549" t="s">
        <v>3439</v>
      </c>
      <c r="I55" s="165">
        <f>'数据-取费表'!B49</f>
        <v>5.0000000000000001E-4</v>
      </c>
      <c r="J55" s="2522" t="str">
        <f>IF(H59="非个人房产","",4)</f>
        <v/>
      </c>
      <c r="K55" s="3617" t="str">
        <f>IF(H59="非个人房产","——","个人所得税")</f>
        <v>——</v>
      </c>
      <c r="L55" s="3617"/>
      <c r="M55" s="2527" t="str">
        <f>D59</f>
        <v>——</v>
      </c>
      <c r="N55" s="2039" t="str">
        <f>E59</f>
        <v>——</v>
      </c>
      <c r="O55" s="2528" t="str">
        <f>F59</f>
        <v>——</v>
      </c>
    </row>
    <row r="56" spans="1:35" ht="24.75">
      <c r="A56" s="3677" t="s">
        <v>1363</v>
      </c>
      <c r="B56" s="3655"/>
      <c r="C56" s="3655"/>
      <c r="D56" s="2323">
        <f ca="1">IF(H56="个人住宅",D57,D58)</f>
        <v>1817</v>
      </c>
      <c r="E56" s="2333" t="s">
        <v>1364</v>
      </c>
      <c r="F56" s="2553" t="str">
        <f>IF(H56="正常",F58,"免征")</f>
        <v>——</v>
      </c>
      <c r="G56" s="2556" t="s">
        <v>1365</v>
      </c>
      <c r="H56" s="2557" t="s">
        <v>3439</v>
      </c>
      <c r="I56" s="1807"/>
      <c r="J56" s="2522" t="str">
        <f>IF(项目基本情况!K6="上海银行",IF(J55="",4,J55+1),"")</f>
        <v/>
      </c>
      <c r="K56" s="3598" t="str">
        <f>IF(项目基本情况!K6="上海银行","其他处置费用","")</f>
        <v/>
      </c>
      <c r="L56" s="3599"/>
      <c r="M56" s="2524" t="str">
        <f>IF(项目基本情况!K6="上海银行",M69,"")</f>
        <v/>
      </c>
      <c r="N56" s="3598" t="str">
        <f>IF(项目基本情况!K6="上海银行","包含处置中涉及的律师、诉讼、拍卖、评估等费用","")</f>
        <v/>
      </c>
      <c r="O56" s="3601"/>
    </row>
    <row r="57" spans="1:35" ht="12.75">
      <c r="A57" s="2334" t="s">
        <v>1341</v>
      </c>
      <c r="B57" s="3641" t="s">
        <v>1366</v>
      </c>
      <c r="C57" s="3642"/>
      <c r="D57" s="1589">
        <v>0</v>
      </c>
      <c r="E57" s="324" t="s">
        <v>1343</v>
      </c>
      <c r="F57" s="302"/>
      <c r="G57" s="2554"/>
      <c r="H57" s="2558"/>
      <c r="I57" s="1807"/>
      <c r="J57" s="3617">
        <f>IF(AND(J55="",J56=""),4,IF(项目基本情况!K6="上海银行",结果表!J56+1,结果表!J55+1))</f>
        <v>4</v>
      </c>
      <c r="K57" s="3617" t="s">
        <v>1367</v>
      </c>
      <c r="L57" s="2529" t="s">
        <v>1368</v>
      </c>
      <c r="M57" s="2530"/>
      <c r="N57" s="2531">
        <f ca="1">SUMIF(M52:M56,"&lt;9e307")</f>
        <v>1990</v>
      </c>
      <c r="O57" s="2532"/>
      <c r="P57" s="3496">
        <f ca="1">P52+P53+P54</f>
        <v>326</v>
      </c>
    </row>
    <row r="58" spans="1:35" ht="24.75">
      <c r="A58" s="2334" t="s">
        <v>1352</v>
      </c>
      <c r="B58" s="3641" t="s">
        <v>1369</v>
      </c>
      <c r="C58" s="3640"/>
      <c r="D58" s="2323">
        <f ca="1">IF(H58="转让取得",C81,C97)</f>
        <v>1817</v>
      </c>
      <c r="E58" s="2333" t="s">
        <v>1364</v>
      </c>
      <c r="F58" s="302" t="s">
        <v>28</v>
      </c>
      <c r="G58" s="2554"/>
      <c r="H58" s="2557" t="s">
        <v>3471</v>
      </c>
      <c r="I58" s="1807"/>
      <c r="J58" s="3617"/>
      <c r="K58" s="3617"/>
      <c r="L58" s="2529" t="s">
        <v>1370</v>
      </c>
      <c r="M58" s="2533"/>
      <c r="N58" s="2534" t="str">
        <f ca="1">NUMBERSTRING(INT(N57*10000),2)&amp;"元整"</f>
        <v>壹仟玖佰玖拾万元整</v>
      </c>
      <c r="O58" s="2535"/>
      <c r="Q58" s="3499"/>
    </row>
    <row r="59" spans="1:35" ht="24.75" thickBot="1">
      <c r="A59" s="3621" t="s">
        <v>1371</v>
      </c>
      <c r="B59" s="3622"/>
      <c r="C59" s="3622"/>
      <c r="D59" s="2559" t="str">
        <f>IF(H59="非个人房产","——",IF(H59="个人住宅（满五唯一有凭证）",0,IF(H59="个人其他（无凭证）",ROUND(D45/(1+'数据-取费表'!C42)*F59,0),ROUND(C67*F59,0))))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3472</v>
      </c>
      <c r="I59" s="2312" t="s">
        <v>2133</v>
      </c>
      <c r="J59" s="3619">
        <f>J57+1</f>
        <v>5</v>
      </c>
      <c r="K59" s="3617" t="s">
        <v>1372</v>
      </c>
      <c r="L59" s="2522" t="s">
        <v>1368</v>
      </c>
      <c r="M59" s="2536"/>
      <c r="N59" s="2537">
        <f ca="1">M49-N57</f>
        <v>1219</v>
      </c>
      <c r="O59" s="2538"/>
      <c r="P59" s="724">
        <f ca="1">M49-P57</f>
        <v>2883</v>
      </c>
      <c r="R59" s="724">
        <f>1400/0.49</f>
        <v>2857.1428571428573</v>
      </c>
    </row>
    <row r="60" spans="1:35" ht="12" customHeight="1">
      <c r="A60" s="1808"/>
      <c r="B60" s="1746"/>
      <c r="C60" s="1746"/>
      <c r="D60" s="1746"/>
      <c r="E60" s="1577"/>
      <c r="F60" s="1807"/>
      <c r="G60" s="1807"/>
      <c r="H60" s="1809"/>
      <c r="I60" s="129"/>
      <c r="J60" s="3620"/>
      <c r="K60" s="3617"/>
      <c r="L60" s="2529" t="s">
        <v>1370</v>
      </c>
      <c r="M60" s="2533"/>
      <c r="N60" s="2534" t="str">
        <f ca="1">NUMBERSTRING(INT(N59*10000),2)&amp;"元整"</f>
        <v>壹仟贰佰壹拾玖万元整</v>
      </c>
      <c r="O60" s="2535"/>
    </row>
    <row r="61" spans="1:35" ht="13.5" thickBot="1">
      <c r="A61" s="3676" t="s">
        <v>1373</v>
      </c>
      <c r="B61" s="3676"/>
      <c r="C61" s="3676"/>
      <c r="D61" s="3676"/>
      <c r="E61" s="3676"/>
      <c r="F61" s="1807"/>
      <c r="G61" s="1807"/>
      <c r="H61" s="1809"/>
      <c r="I61" s="129"/>
      <c r="J61" s="2522">
        <f>J59+1</f>
        <v>6</v>
      </c>
      <c r="K61" s="3617" t="s">
        <v>1374</v>
      </c>
      <c r="L61" s="3617"/>
      <c r="M61" s="2539"/>
      <c r="N61" s="2540">
        <f ca="1">ROUND(N59*10000/'数据-汇总表'!E3,0)</f>
        <v>21340</v>
      </c>
      <c r="O61" s="2541"/>
      <c r="P61" s="3499">
        <f ca="1">ROUND(P59*10000/'数据-汇总表'!E3,0)</f>
        <v>50469</v>
      </c>
    </row>
    <row r="62" spans="1:35" ht="12.75">
      <c r="A62" s="3636" t="s">
        <v>1375</v>
      </c>
      <c r="B62" s="3637"/>
      <c r="C62" s="2020"/>
      <c r="D62" s="2020" t="s">
        <v>1376</v>
      </c>
      <c r="E62" s="166" t="s">
        <v>1377</v>
      </c>
      <c r="F62" s="1807"/>
      <c r="G62" s="1807"/>
      <c r="H62" s="1809"/>
      <c r="I62" s="129"/>
    </row>
    <row r="63" spans="1:35" ht="12.75">
      <c r="A63" s="173" t="s">
        <v>330</v>
      </c>
      <c r="B63" s="167" t="s">
        <v>1378</v>
      </c>
      <c r="C63" s="2563">
        <f ca="1">ROUND((C64+C65)/(1+'数据-取费表'!C42),0)</f>
        <v>3056</v>
      </c>
      <c r="D63" s="167"/>
      <c r="E63" s="168"/>
      <c r="F63" s="1807"/>
      <c r="G63" s="1807"/>
      <c r="H63" s="1809"/>
      <c r="I63" s="129"/>
      <c r="J63" s="3600" t="s">
        <v>1379</v>
      </c>
      <c r="K63" s="1331" t="s">
        <v>1380</v>
      </c>
      <c r="L63" s="1331">
        <f ca="1">IF(M49&gt;10000,M49*0.5%,IF(AND(M49&gt;1000,M49&lt;=10000),M49*1%,IF(AND(M49&gt;100,M49&lt;=1000),M49*3%,IF(AND(M49&gt;10,M49&lt;=100),M49*5%,M49*8%))))</f>
        <v>32.090000000000003</v>
      </c>
      <c r="M63" s="302">
        <f ca="1">ROUND(L63,1)</f>
        <v>32.1</v>
      </c>
      <c r="N63" s="2542"/>
      <c r="Z63" s="1751"/>
      <c r="AI63" s="1752"/>
    </row>
    <row r="64" spans="1:35" ht="14.25" customHeight="1">
      <c r="A64" s="169" t="s">
        <v>325</v>
      </c>
      <c r="B64" s="170" t="s">
        <v>1381</v>
      </c>
      <c r="C64" s="2564">
        <f ca="1">D45</f>
        <v>3209</v>
      </c>
      <c r="D64" s="170" t="s">
        <v>26</v>
      </c>
      <c r="E64" s="172"/>
      <c r="F64" s="1807"/>
      <c r="G64" s="1807"/>
      <c r="H64" s="1809"/>
      <c r="I64" s="129"/>
      <c r="J64" s="3600"/>
      <c r="K64" s="1331" t="s">
        <v>1382</v>
      </c>
      <c r="L64" s="1331">
        <f ca="1">IF(M49&gt;2000,M49*0.5%,IF(AND(M49&gt;1000,M49&lt;=2000),M49*0.6%,IF(AND(M49&gt;500,M49&lt;=1000),M49*0.7%,IF(AND(M49&gt;200,M49&lt;=500),M49*0.8%,IF(AND(M49&gt;100,M49&lt;=200),M49*0.9%,IF(AND(M49&gt;50,M49&lt;=100),M49*1%,IF(AND(M49&gt;20,M49&lt;=50),M49*1.5%,IF(AND(M49&gt;10,M49&lt;=20),M49*2%,IF(AND(M49&gt;1,M49&lt;=10),M49*2.5%)))))))))</f>
        <v>16.045000000000002</v>
      </c>
      <c r="M64" s="302">
        <f t="shared" ref="M64:M65" ca="1" si="1">ROUND(L64,1)</f>
        <v>16</v>
      </c>
      <c r="N64" s="2543" t="s">
        <v>1383</v>
      </c>
      <c r="Z64" s="1751"/>
      <c r="AI64" s="1752"/>
    </row>
    <row r="65" spans="1:35" ht="14.25" customHeight="1">
      <c r="A65" s="169" t="s">
        <v>326</v>
      </c>
      <c r="B65" s="170" t="s">
        <v>1384</v>
      </c>
      <c r="C65" s="2565"/>
      <c r="D65" s="170"/>
      <c r="E65" s="172"/>
      <c r="F65" s="1807"/>
      <c r="G65" s="1807"/>
      <c r="H65" s="1809"/>
      <c r="I65" s="129"/>
      <c r="J65" s="3600"/>
      <c r="K65" s="1331" t="s">
        <v>1385</v>
      </c>
      <c r="L65" s="1331">
        <f ca="1">IF(M49&gt;1000,M49*0.1%,IF(AND(M49&gt;500,M49&lt;=1000),M49*0.5%,IF(AND(M49&gt;50,M49&lt;=500),M49*1%,IF(AND(M49&gt;1,M49&lt;=50),M49*1.5%))))</f>
        <v>3.2090000000000001</v>
      </c>
      <c r="M65" s="302">
        <f t="shared" ca="1" si="1"/>
        <v>3.2</v>
      </c>
      <c r="N65" s="2543" t="s">
        <v>1383</v>
      </c>
      <c r="Z65" s="1751"/>
      <c r="AI65" s="1752"/>
    </row>
    <row r="66" spans="1:35" ht="14.25" customHeight="1">
      <c r="A66" s="173" t="s">
        <v>327</v>
      </c>
      <c r="B66" s="174" t="s">
        <v>1386</v>
      </c>
      <c r="C66" s="2566">
        <f>C75</f>
        <v>0</v>
      </c>
      <c r="D66" s="174" t="s">
        <v>26</v>
      </c>
      <c r="E66" s="1337" t="s">
        <v>671</v>
      </c>
      <c r="F66" s="1807"/>
      <c r="G66" s="1807"/>
      <c r="H66" s="1809"/>
      <c r="I66" s="129"/>
      <c r="J66" s="3600"/>
      <c r="K66" s="1331" t="s">
        <v>1387</v>
      </c>
      <c r="L66" s="1331">
        <f ca="1">M49*0.5%</f>
        <v>16.045000000000002</v>
      </c>
      <c r="M66" s="302">
        <f ca="1">IF(L66&gt;0.5,0.5,ROUND(L66,0))</f>
        <v>0.5</v>
      </c>
      <c r="N66" s="2543" t="s">
        <v>1388</v>
      </c>
      <c r="Z66" s="1751"/>
      <c r="AI66" s="1752"/>
    </row>
    <row r="67" spans="1:35" ht="14.25" customHeight="1">
      <c r="A67" s="173" t="s">
        <v>328</v>
      </c>
      <c r="B67" s="174" t="s">
        <v>1389</v>
      </c>
      <c r="C67" s="2567">
        <f ca="1">C63-C66</f>
        <v>3056</v>
      </c>
      <c r="D67" s="170" t="s">
        <v>26</v>
      </c>
      <c r="E67" s="172"/>
      <c r="F67" s="1807"/>
      <c r="G67" s="1807"/>
      <c r="H67" s="1809"/>
      <c r="I67" s="129"/>
      <c r="J67" s="3600"/>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171</v>
      </c>
      <c r="D68" s="2569">
        <f>'数据-取费表'!B41</f>
        <v>5.6000000000000001E-2</v>
      </c>
      <c r="E68" s="178"/>
      <c r="F68" s="1807"/>
      <c r="G68" s="1807"/>
      <c r="H68" s="1809"/>
      <c r="I68" s="129"/>
      <c r="J68" s="3600"/>
      <c r="K68" s="1331" t="s">
        <v>1392</v>
      </c>
      <c r="L68" s="1331">
        <f ca="1">IF(M49&gt;10000,M49*0.5%,IF(AND(M49&gt;5000,M49&lt;=10000),M49*1%,IF(AND(M49&gt;1000,M49&lt;=5000),M49*2%,IF(AND(M49&gt;200,M49&lt;=1000),M49*3%,M49*5%))))</f>
        <v>64.180000000000007</v>
      </c>
      <c r="M68" s="302">
        <f ca="1">ROUND(L68,1)</f>
        <v>64.2</v>
      </c>
      <c r="N68" s="2542"/>
      <c r="Z68" s="1751"/>
      <c r="AI68" s="1752"/>
    </row>
    <row r="69" spans="1:35" s="1771" customFormat="1" ht="16.5" customHeight="1">
      <c r="A69" s="1810"/>
      <c r="B69" s="1811"/>
      <c r="C69" s="1812"/>
      <c r="D69" s="1813"/>
      <c r="E69" s="1814"/>
      <c r="F69" s="1577"/>
      <c r="G69" s="1577"/>
      <c r="H69" s="1576"/>
      <c r="I69" s="1746"/>
      <c r="J69" s="3600"/>
      <c r="K69" s="1331" t="s">
        <v>1393</v>
      </c>
      <c r="L69" s="1331"/>
      <c r="M69" s="302">
        <f ca="1">ROUND(SUM(M63:M68),0)</f>
        <v>118</v>
      </c>
      <c r="N69" s="2544">
        <f ca="1">M69/M49</f>
        <v>3.6771579931442817E-2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44" t="s">
        <v>1394</v>
      </c>
      <c r="B70" s="3645"/>
      <c r="C70" s="3645"/>
      <c r="D70" s="3645"/>
      <c r="E70" s="3645"/>
      <c r="F70" s="3645"/>
      <c r="G70" s="3645"/>
      <c r="H70" s="3645"/>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6" t="s">
        <v>1375</v>
      </c>
      <c r="B71" s="3637"/>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3056</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t="s">
        <v>3473</v>
      </c>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41" t="s">
        <v>1402</v>
      </c>
      <c r="F76" s="3640"/>
      <c r="G76" s="3640"/>
      <c r="H76" s="364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t="s">
        <v>3474</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18</v>
      </c>
      <c r="D78" s="2576">
        <f>'数据-取费表'!B43</f>
        <v>6.000000000000001E-3</v>
      </c>
      <c r="E78" s="3633" t="s">
        <v>1406</v>
      </c>
      <c r="F78" s="3634"/>
      <c r="G78" s="3634"/>
      <c r="H78" s="363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3038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168.77777777777777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1817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4" t="s">
        <v>1410</v>
      </c>
      <c r="B83" s="3645"/>
      <c r="C83" s="3645"/>
      <c r="D83" s="3645"/>
      <c r="E83" s="3645"/>
      <c r="F83" s="3645"/>
      <c r="G83" s="3645"/>
      <c r="H83" s="364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6" t="s">
        <v>1375</v>
      </c>
      <c r="B84" s="363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3056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02" t="s">
        <v>2125</v>
      </c>
      <c r="H90" s="3603"/>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33" t="s">
        <v>1419</v>
      </c>
      <c r="F91" s="3634"/>
      <c r="G91" s="363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33" t="s">
        <v>1422</v>
      </c>
      <c r="F92" s="3634"/>
      <c r="G92" s="3634"/>
      <c r="H92" s="3635"/>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18</v>
      </c>
      <c r="D93" s="2576">
        <f>'数据-取费表'!B43</f>
        <v>6.000000000000001E-3</v>
      </c>
      <c r="E93" s="3633" t="s">
        <v>1406</v>
      </c>
      <c r="F93" s="3634"/>
      <c r="G93" s="3634"/>
      <c r="H93" s="363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78" t="s">
        <v>1426</v>
      </c>
      <c r="F94" s="3679"/>
      <c r="G94" s="3679"/>
      <c r="H94" s="368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3038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168.77777777777777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1817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3" t="s">
        <v>1428</v>
      </c>
      <c r="B100" s="3584"/>
      <c r="C100" s="3584"/>
      <c r="D100" s="3618"/>
      <c r="E100" s="3584" t="s">
        <v>1429</v>
      </c>
      <c r="F100" s="3584"/>
      <c r="G100" s="3584"/>
      <c r="H100" s="3618"/>
      <c r="I100" s="129"/>
    </row>
    <row r="101" spans="1:35" ht="18.75" customHeight="1">
      <c r="A101" s="3626" t="s">
        <v>1430</v>
      </c>
      <c r="B101" s="3627"/>
      <c r="C101" s="2584" t="str">
        <f>C4</f>
        <v>比较法-办公</v>
      </c>
      <c r="D101" s="2585" t="str">
        <f>D4</f>
        <v>收益法 (元)</v>
      </c>
      <c r="E101" s="3596" t="s">
        <v>1431</v>
      </c>
      <c r="F101" s="3597"/>
      <c r="G101" s="1826" t="s">
        <v>1432</v>
      </c>
      <c r="H101" s="2594">
        <f ca="1">H118</f>
        <v>3209</v>
      </c>
      <c r="I101" s="129"/>
    </row>
    <row r="102" spans="1:35" ht="18.75" customHeight="1">
      <c r="A102" s="3628" t="s">
        <v>1433</v>
      </c>
      <c r="B102" s="2583" t="s">
        <v>1432</v>
      </c>
      <c r="C102" s="2584">
        <f ca="1">IF(D32="楼面单价",ROUND(C19,0),C19)</f>
        <v>4168</v>
      </c>
      <c r="D102" s="2585">
        <f ca="1">IF(D32="楼面单价",ROUND(D19,0),D19)</f>
        <v>1427</v>
      </c>
      <c r="E102" s="3596"/>
      <c r="F102" s="3597"/>
      <c r="G102" s="1826" t="s">
        <v>1434</v>
      </c>
      <c r="H102" s="2554">
        <f ca="1">I118</f>
        <v>56169</v>
      </c>
      <c r="I102" s="129"/>
    </row>
    <row r="103" spans="1:35" ht="42.75" customHeight="1">
      <c r="A103" s="3628"/>
      <c r="B103" s="2583" t="s">
        <v>1434</v>
      </c>
      <c r="C103" s="2586">
        <f ca="1">C20</f>
        <v>72962</v>
      </c>
      <c r="D103" s="2587">
        <f ca="1">D20</f>
        <v>24983</v>
      </c>
      <c r="E103" s="3589" t="s">
        <v>1435</v>
      </c>
      <c r="F103" s="3590"/>
      <c r="G103" s="1827" t="s">
        <v>1436</v>
      </c>
      <c r="H103" s="2594">
        <f>IF(D36="正常操作",H104+H105+H106,H105+H106)</f>
        <v>0</v>
      </c>
      <c r="I103" s="129"/>
    </row>
    <row r="104" spans="1:35" ht="18.75" customHeight="1">
      <c r="A104" s="3628" t="s">
        <v>1437</v>
      </c>
      <c r="B104" s="2588" t="s">
        <v>1432</v>
      </c>
      <c r="C104" s="2589">
        <f ca="1">H118</f>
        <v>3209</v>
      </c>
      <c r="D104" s="2590"/>
      <c r="E104" s="1673" t="s">
        <v>1438</v>
      </c>
      <c r="F104" s="1665"/>
      <c r="G104" s="1827" t="s">
        <v>1436</v>
      </c>
      <c r="H104" s="2595">
        <f>IF(D36="同一抵押权人同一抵押物续贷",C36&amp;"（续贷，未扣减，详见特别提示）",C36)</f>
        <v>0</v>
      </c>
      <c r="I104" s="129"/>
    </row>
    <row r="105" spans="1:35" ht="18.75" customHeight="1" thickBot="1">
      <c r="A105" s="3638"/>
      <c r="B105" s="2591" t="s">
        <v>1434</v>
      </c>
      <c r="C105" s="2592">
        <f ca="1">I118</f>
        <v>56169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9" t="str">
        <f>IF(项目基本情况!E8="已注销","——","3.房地产抵押价值")</f>
        <v>3.房地产抵押价值</v>
      </c>
      <c r="F107" s="3597"/>
      <c r="G107" s="1826" t="s">
        <v>1432</v>
      </c>
      <c r="H107" s="2594">
        <f ca="1">IF(E107="——","——",H101-H103)</f>
        <v>3209</v>
      </c>
      <c r="I107" s="129"/>
    </row>
    <row r="108" spans="1:35" ht="18.75" customHeight="1">
      <c r="A108" s="129"/>
      <c r="B108" s="129"/>
      <c r="C108" s="129"/>
      <c r="D108" s="129"/>
      <c r="E108" s="3629"/>
      <c r="F108" s="3597"/>
      <c r="G108" s="1826" t="s">
        <v>1434</v>
      </c>
      <c r="H108" s="2554">
        <f ca="1">IF(H107=H101,H102,ROUND(H107*10000/'数据-汇总表'!E3,0))</f>
        <v>56169</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597"/>
      <c r="G109" s="1826" t="s">
        <v>1432</v>
      </c>
      <c r="H109" s="2597" t="str">
        <f>IF(E109="——","——",H101-H105-H106)</f>
        <v>——</v>
      </c>
      <c r="I109" s="129"/>
    </row>
    <row r="110" spans="1:35" ht="18.75" customHeight="1">
      <c r="A110" s="129"/>
      <c r="B110" s="129"/>
      <c r="C110" s="129"/>
      <c r="D110" s="129"/>
      <c r="E110" s="3629"/>
      <c r="F110" s="3597"/>
      <c r="G110" s="1826" t="s">
        <v>1434</v>
      </c>
      <c r="H110" s="2554"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16"/>
      <c r="G111" s="1826" t="s">
        <v>1432</v>
      </c>
      <c r="H111" s="2594" t="str">
        <f>IF(E111="——","——",N59)</f>
        <v>——</v>
      </c>
      <c r="I111" s="129"/>
    </row>
    <row r="112" spans="1:35" ht="18.75" customHeight="1" thickBot="1">
      <c r="A112" s="129"/>
      <c r="B112" s="129"/>
      <c r="C112" s="129"/>
      <c r="D112" s="129"/>
      <c r="E112" s="3631"/>
      <c r="F112" s="3632"/>
      <c r="G112" s="1829" t="s">
        <v>1434</v>
      </c>
      <c r="H112" s="2598" t="str">
        <f>IF(E111="——","——",N61)</f>
        <v>——</v>
      </c>
      <c r="I112" s="129"/>
    </row>
    <row r="113" spans="1:27" ht="18.75" customHeight="1">
      <c r="A113" s="129"/>
      <c r="B113" s="129"/>
      <c r="C113" s="129"/>
      <c r="D113" s="129"/>
      <c r="E113" s="3639" t="s">
        <v>1440</v>
      </c>
      <c r="F113" s="3639"/>
      <c r="G113" s="3639"/>
      <c r="H113" s="3639"/>
      <c r="I113" s="129"/>
    </row>
    <row r="114" spans="1:27" ht="3.75" customHeight="1">
      <c r="A114" s="1746"/>
      <c r="B114" s="1746"/>
      <c r="C114" s="1746"/>
      <c r="D114" s="1746"/>
      <c r="E114" s="1808"/>
      <c r="F114" s="1808"/>
      <c r="G114" s="1808"/>
      <c r="H114" s="1808"/>
      <c r="I114" s="1746"/>
    </row>
    <row r="115" spans="1:27" ht="18.75" customHeight="1">
      <c r="A115" s="3647" t="s">
        <v>1442</v>
      </c>
      <c r="B115" s="3648"/>
      <c r="C115" s="3648"/>
      <c r="D115" s="3648"/>
      <c r="E115" s="3648"/>
      <c r="F115" s="3648"/>
      <c r="G115" s="3648"/>
      <c r="H115" s="3648"/>
      <c r="I115" s="3649"/>
    </row>
    <row r="116" spans="1:27" ht="27" customHeight="1">
      <c r="A116" s="3604" t="s">
        <v>1443</v>
      </c>
      <c r="B116" s="3608" t="s">
        <v>3510</v>
      </c>
      <c r="C116" s="3608" t="s">
        <v>3511</v>
      </c>
      <c r="D116" s="3614" t="s">
        <v>1444</v>
      </c>
      <c r="E116" s="3615"/>
      <c r="F116" s="3646" t="s">
        <v>3512</v>
      </c>
      <c r="G116" s="3646"/>
      <c r="H116" s="3604" t="s">
        <v>1445</v>
      </c>
      <c r="I116" s="3604"/>
    </row>
    <row r="117" spans="1:27" ht="18.75" customHeight="1">
      <c r="A117" s="3604"/>
      <c r="B117" s="3609"/>
      <c r="C117" s="3609"/>
      <c r="D117" s="2328" t="s">
        <v>1446</v>
      </c>
      <c r="E117" s="2328" t="s">
        <v>1447</v>
      </c>
      <c r="F117" s="2328" t="s">
        <v>1446</v>
      </c>
      <c r="G117" s="2328" t="s">
        <v>1448</v>
      </c>
      <c r="H117" s="2328" t="s">
        <v>1446</v>
      </c>
      <c r="I117" s="2328" t="s">
        <v>1448</v>
      </c>
    </row>
    <row r="118" spans="1:27" ht="24.75" customHeight="1">
      <c r="A118" s="2599" t="str">
        <f>项目基本情况!S2</f>
        <v>北京市西城区金融大街27号7层A座701等[5]套办公用房房地产</v>
      </c>
      <c r="B118" s="2328">
        <f>M18</f>
        <v>571.24</v>
      </c>
      <c r="C118" s="2328">
        <f>M19</f>
        <v>62.48</v>
      </c>
      <c r="D118" s="2328">
        <f ca="1">ROUND(IF(D32="总价",C34,E118*B118/10000),0)</f>
        <v>2455</v>
      </c>
      <c r="E118" s="2328">
        <f ca="1">ROUND(IF(C33="自定义",IF(D32="楼面单价",C34,D118*10000/B118),I118-G118),0)</f>
        <v>42969</v>
      </c>
      <c r="F118" s="2328">
        <f ca="1">ROUND(IF(D32="总价",C35,G118*B118/10000),0)</f>
        <v>754</v>
      </c>
      <c r="G118" s="2328">
        <f ca="1">ROUND(IF(D32="楼面单价",C35,F118*10000/B118),0)</f>
        <v>13200</v>
      </c>
      <c r="H118" s="2328">
        <f ca="1">ROUND(IF(D32="总价",C32,I118*B118/10000),0)</f>
        <v>3209</v>
      </c>
      <c r="I118" s="2328">
        <f ca="1">ROUND(IF(D32="楼面单价",C32,H118*10000/B118),0)</f>
        <v>56169</v>
      </c>
    </row>
    <row r="119" spans="1:27" ht="18.75" customHeight="1">
      <c r="A119" s="3604" t="s">
        <v>1449</v>
      </c>
      <c r="B119" s="3604"/>
      <c r="C119" s="3604"/>
      <c r="D119" s="3610" t="str">
        <f ca="1">NUMBERSTRING(INT(D118*10000),2)&amp;"元整"</f>
        <v>贰仟肆佰伍拾伍万元整</v>
      </c>
      <c r="E119" s="3611"/>
      <c r="F119" s="3610" t="str">
        <f ca="1">NUMBERSTRING(INT(F118*10000),2)&amp;"元整"</f>
        <v>柒佰伍拾肆万元整</v>
      </c>
      <c r="G119" s="3611"/>
      <c r="H119" s="3610" t="str">
        <f ca="1">NUMBERSTRING(INT(H118*10000),2)&amp;"元整"</f>
        <v>叁仟贰佰零玖万元整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1449</v>
      </c>
      <c r="B121" s="3612"/>
      <c r="C121" s="3611"/>
      <c r="D121" s="3610" t="str">
        <f>IF(D120=0,"零元整",NUMBERSTRING(INT(D120*10000),2)&amp;"元整")</f>
        <v>零元整</v>
      </c>
      <c r="E121" s="3612"/>
      <c r="F121" s="3612"/>
      <c r="G121" s="3612"/>
      <c r="H121" s="3612"/>
      <c r="I121" s="3611"/>
      <c r="AA121" s="724"/>
    </row>
    <row r="122" spans="1:27" ht="18.75" customHeight="1">
      <c r="A122" s="3616" t="str">
        <f>IF(项目基本情况!B9="房地产市场价值","",MID(E107,3,LEN(E107)-2))</f>
        <v>房地产抵押价值</v>
      </c>
      <c r="B122" s="3616"/>
      <c r="C122" s="3616"/>
      <c r="D122" s="3605">
        <f ca="1">H107</f>
        <v>3209</v>
      </c>
      <c r="E122" s="3606"/>
      <c r="F122" s="3606"/>
      <c r="G122" s="3606"/>
      <c r="H122" s="3606"/>
      <c r="I122" s="3607"/>
      <c r="AA122" s="724"/>
    </row>
    <row r="123" spans="1:27" ht="18.75" customHeight="1">
      <c r="A123" s="3604" t="s">
        <v>1449</v>
      </c>
      <c r="B123" s="3604"/>
      <c r="C123" s="3604"/>
      <c r="D123" s="3610" t="str">
        <f ca="1">NUMBERSTRING(INT(D122*10000),2)&amp;"元整"</f>
        <v>叁仟贰佰零玖万元整</v>
      </c>
      <c r="E123" s="3612"/>
      <c r="F123" s="3612"/>
      <c r="G123" s="3612"/>
      <c r="H123" s="3612"/>
      <c r="I123" s="3611"/>
      <c r="AA123" s="724"/>
    </row>
    <row r="124" spans="1:27" ht="18.75" customHeight="1">
      <c r="A124" s="3616" t="str">
        <f>IF(项目基本情况!B9="房地产市场价值","",MID(E109,3,LEN(E109)-2))</f>
        <v/>
      </c>
      <c r="B124" s="3616"/>
      <c r="C124" s="3616"/>
      <c r="D124" s="3605" t="str">
        <f>H109</f>
        <v>——</v>
      </c>
      <c r="E124" s="3606"/>
      <c r="F124" s="3606"/>
      <c r="G124" s="3606"/>
      <c r="H124" s="3606"/>
      <c r="I124" s="3607"/>
      <c r="AA124" s="724"/>
    </row>
    <row r="125" spans="1:27" ht="18.75" customHeight="1">
      <c r="A125" s="3604" t="s">
        <v>1449</v>
      </c>
      <c r="B125" s="3604"/>
      <c r="C125" s="3604"/>
      <c r="D125" s="3610" t="e">
        <f>NUMBERSTRING(INT(D124*10000),2)&amp;"元整"</f>
        <v>#VALUE!</v>
      </c>
      <c r="E125" s="3612"/>
      <c r="F125" s="3612"/>
      <c r="G125" s="3612"/>
      <c r="H125" s="3612"/>
      <c r="I125" s="3611"/>
      <c r="AA125" s="724"/>
    </row>
    <row r="126" spans="1:27" ht="18.75" customHeight="1">
      <c r="A126" s="3616" t="str">
        <f>IF(项目基本情况!B9="房地产市场价值","",MID(E111,3,LEN(E111)-2))</f>
        <v/>
      </c>
      <c r="B126" s="3616"/>
      <c r="C126" s="3616"/>
      <c r="D126" s="3605" t="str">
        <f>H111</f>
        <v>——</v>
      </c>
      <c r="E126" s="3606"/>
      <c r="F126" s="3606"/>
      <c r="G126" s="3606"/>
      <c r="H126" s="3606"/>
      <c r="I126" s="3607"/>
      <c r="AA126" s="724"/>
    </row>
    <row r="127" spans="1:27" ht="18.75" customHeight="1">
      <c r="A127" s="3604" t="s">
        <v>1449</v>
      </c>
      <c r="B127" s="3604"/>
      <c r="C127" s="3604"/>
      <c r="D127" s="3610" t="e">
        <f>NUMBERSTRING(INT(D126*10000),2)&amp;"元整"</f>
        <v>#VALUE!</v>
      </c>
      <c r="E127" s="3612"/>
      <c r="F127" s="3612"/>
      <c r="G127" s="3612"/>
      <c r="H127" s="3612"/>
      <c r="I127" s="3611"/>
      <c r="AA127" s="724"/>
    </row>
    <row r="128" spans="1:27" ht="21.75" customHeight="1">
      <c r="A128" s="3613" t="s">
        <v>1450</v>
      </c>
      <c r="B128" s="3613"/>
      <c r="C128" s="3613"/>
      <c r="D128" s="3613"/>
      <c r="E128" s="3613"/>
      <c r="F128" s="3613"/>
      <c r="G128" s="3613"/>
      <c r="H128" s="3613"/>
      <c r="I128" s="3613"/>
      <c r="AA128" s="724"/>
    </row>
    <row r="129" spans="1:35" ht="21.75" customHeight="1">
      <c r="A129" s="1830" t="s">
        <v>1451</v>
      </c>
      <c r="B129" s="1831"/>
      <c r="C129" s="1832" t="s">
        <v>1452</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1453</v>
      </c>
      <c r="G135" s="1847"/>
      <c r="H135" s="1847"/>
      <c r="I135" s="1848" t="s">
        <v>1454</v>
      </c>
    </row>
    <row r="136" spans="1:35" ht="21.75" customHeight="1">
      <c r="A136" s="724"/>
      <c r="B136" s="1849"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1456</v>
      </c>
    </row>
    <row r="139" spans="1:35" ht="21.75" customHeight="1">
      <c r="A139" s="724"/>
      <c r="B139" s="1849" t="s">
        <v>1457</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1456</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0" t="str">
        <f>项目基本情况!B1</f>
        <v>北京市西城区金融大街27号7层A座701等[5]套办公用房房地产抵押价值预评估</v>
      </c>
      <c r="C37" s="3500"/>
      <c r="D37" s="3500"/>
      <c r="E37" s="3500"/>
      <c r="F37" s="3500"/>
      <c r="G37" s="3500"/>
      <c r="H37" s="3500"/>
      <c r="I37" s="350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c r="C1" s="198"/>
      <c r="D1" s="198"/>
      <c r="E1" s="198"/>
      <c r="F1" s="198"/>
      <c r="G1" s="1125">
        <f>MATCH(B1,'数据-取费表'!A6:A16,0)+5</f>
        <v>7</v>
      </c>
    </row>
    <row r="2" spans="1:9" s="200" customFormat="1" ht="18" customHeight="1">
      <c r="A2" s="201" t="s">
        <v>1459</v>
      </c>
      <c r="B2" s="202">
        <f ca="1">IF(D2="——",C52,C52-E2)</f>
        <v>338</v>
      </c>
      <c r="C2" s="199" t="s">
        <v>1460</v>
      </c>
      <c r="D2" s="1852" t="s">
        <v>43</v>
      </c>
      <c r="E2" s="1168"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5917</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5"/>
    </row>
    <row r="9" spans="1:9" s="214" customFormat="1" ht="13.5" customHeight="1">
      <c r="A9" s="778" t="s">
        <v>355</v>
      </c>
      <c r="B9" s="224" t="s">
        <v>1475</v>
      </c>
      <c r="C9" s="225">
        <f ca="1">ROUND(D9*E9/10000,0)</f>
        <v>0</v>
      </c>
      <c r="D9" s="844">
        <f ca="1">IF(B1="",'数据-汇总表'!E5,IF(INDIRECT("'数据-取费表'!c"&amp;$G$1)="住宅",INDIRECT("'数据-取费表'!k"&amp;$G$1),0))</f>
        <v>0</v>
      </c>
      <c r="E9" s="225">
        <f>'数据-取费表'!B27</f>
        <v>160</v>
      </c>
      <c r="F9" s="221"/>
      <c r="G9" s="1856"/>
      <c r="H9" s="1136"/>
      <c r="I9" s="1857" t="s">
        <v>1476</v>
      </c>
    </row>
    <row r="10" spans="1:9" s="214" customFormat="1" ht="13.5" customHeight="1">
      <c r="A10" s="778" t="s">
        <v>356</v>
      </c>
      <c r="B10" s="224" t="s">
        <v>1477</v>
      </c>
      <c r="C10" s="225">
        <f ca="1">ROUND(D10*E10/10000,0)</f>
        <v>11</v>
      </c>
      <c r="D10" s="844">
        <f ca="1">IF(B1="",'数据-汇总表'!E6,IF(INDIRECT("'数据-取费表'!c"&amp;$G$1)="住宅",INDIRECT("'数据-取费表'!s"&amp;$G$1),INDIRECT("'数据-取费表'!k"&amp;$G$1)+INDIRECT("'数据-取费表'!s"&amp;$G$1)))</f>
        <v>571.24</v>
      </c>
      <c r="E10" s="225">
        <f>'数据-取费表'!B28</f>
        <v>200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11</v>
      </c>
      <c r="D19" s="848">
        <f ca="1">D9+D10</f>
        <v>571.24</v>
      </c>
      <c r="E19" s="211">
        <f>'数据-取费表'!B31</f>
        <v>200</v>
      </c>
      <c r="F19" s="231"/>
      <c r="G19" s="1855"/>
    </row>
    <row r="20" spans="1:7" s="214" customFormat="1" ht="13.5" customHeight="1">
      <c r="A20" s="255" t="s">
        <v>1490</v>
      </c>
      <c r="B20" s="210" t="s">
        <v>1491</v>
      </c>
      <c r="C20" s="232">
        <f ca="1">ROUND((C5+C19)*F20,0)</f>
        <v>0</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3">
        <f ca="1">ROUND(SUM(C23:C25),0)</f>
        <v>1</v>
      </c>
      <c r="D22" s="235">
        <f ca="1">C26</f>
        <v>5.9999999999999995E-4</v>
      </c>
      <c r="E22" s="236" t="s">
        <v>1495</v>
      </c>
      <c r="F22" s="237">
        <f ca="1">'数据-取费表'!B40</f>
        <v>3.1300000000000001E-2</v>
      </c>
      <c r="G22" s="234" t="str">
        <f>IF('数据-取费表'!B22&lt;=1,"单利计息","复利计息")</f>
        <v>复利计息</v>
      </c>
    </row>
    <row r="23" spans="1:7" s="214" customFormat="1" ht="13.5" customHeight="1">
      <c r="A23" s="779" t="s">
        <v>1499</v>
      </c>
      <c r="B23" s="215" t="s">
        <v>1500</v>
      </c>
      <c r="C23" s="1104">
        <f ca="1">ROUND(IF('数据-取费表'!B22&lt;=1,C5*F22*'数据-取费表'!B23,C5*(POWER((1+F22),'数据-取费表'!B23)-1)),0)</f>
        <v>0</v>
      </c>
      <c r="D23" s="238"/>
      <c r="E23" s="238"/>
      <c r="F23" s="239"/>
      <c r="G23" s="240" t="s">
        <v>1501</v>
      </c>
    </row>
    <row r="24" spans="1:7" s="214" customFormat="1" ht="13.5" customHeight="1">
      <c r="A24" s="779" t="s">
        <v>1502</v>
      </c>
      <c r="B24" s="215" t="s">
        <v>1503</v>
      </c>
      <c r="C24" s="1104">
        <f ca="1">ROUND(IF('数据-取费表'!B22&lt;=1,C19*F22*('数据-取费表'!B19/2+'数据-取费表'!B21),C19*(POWER((1+F22),('数据-取费表'!B19/2+'数据-取费表'!B21))-1)),0)</f>
        <v>1</v>
      </c>
      <c r="D24" s="238"/>
      <c r="E24" s="238"/>
      <c r="F24" s="239"/>
      <c r="G24" s="240" t="s">
        <v>1504</v>
      </c>
    </row>
    <row r="25" spans="1:7" s="214" customFormat="1" ht="24">
      <c r="A25" s="779" t="s">
        <v>1505</v>
      </c>
      <c r="B25" s="215" t="s">
        <v>1506</v>
      </c>
      <c r="C25" s="1104">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2</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ROUND((C5+C19+C20)*F27*'数据-取费表'!B21/'数据-取费表'!B20,0)</f>
        <v>2</v>
      </c>
      <c r="D28" s="235"/>
      <c r="E28" s="236"/>
      <c r="F28" s="246"/>
      <c r="G28" s="247"/>
    </row>
    <row r="29" spans="1:7" s="214" customFormat="1" ht="13.5" customHeight="1">
      <c r="A29" s="779"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15</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366</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331</v>
      </c>
      <c r="D34" s="217"/>
      <c r="E34" s="220"/>
      <c r="F34" s="257">
        <f ca="1">IF('数据-取费表'!B24=0,1,IF(B1="",'数据-取费表'!N16,INDIRECT("'数据-取费表'!n"&amp;$G$1)))</f>
        <v>1</v>
      </c>
      <c r="G34" s="219" t="s">
        <v>1523</v>
      </c>
    </row>
    <row r="35" spans="1:7" ht="13.5" customHeight="1">
      <c r="A35" s="779" t="s">
        <v>351</v>
      </c>
      <c r="B35" s="215" t="s">
        <v>1524</v>
      </c>
      <c r="C35" s="220">
        <f ca="1">ROUND(C34*F35,0)</f>
        <v>17</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9" t="s">
        <v>353</v>
      </c>
      <c r="B37" s="215" t="s">
        <v>1528</v>
      </c>
      <c r="C37" s="249">
        <f ca="1">ROUND(E37*D37*F34/10000,0)</f>
        <v>11</v>
      </c>
      <c r="D37" s="217">
        <f ca="1">D19</f>
        <v>571.24</v>
      </c>
      <c r="E37" s="249">
        <f>'数据-取费表'!B35</f>
        <v>200</v>
      </c>
      <c r="F37" s="259"/>
      <c r="G37" s="261" t="s">
        <v>1529</v>
      </c>
    </row>
    <row r="38" spans="1:7" ht="13.5" customHeight="1">
      <c r="A38" s="779" t="s">
        <v>354</v>
      </c>
      <c r="B38" s="215" t="s">
        <v>1530</v>
      </c>
      <c r="C38" s="220">
        <f ca="1">ROUND(C34*F38,0)</f>
        <v>7</v>
      </c>
      <c r="D38" s="220"/>
      <c r="E38" s="220"/>
      <c r="F38" s="259">
        <f>'数据-取费表'!B36</f>
        <v>0.02</v>
      </c>
      <c r="G38" s="219" t="s">
        <v>1525</v>
      </c>
    </row>
    <row r="39" spans="1:7" s="214" customFormat="1" ht="13.5" customHeight="1">
      <c r="A39" s="255" t="s">
        <v>1531</v>
      </c>
      <c r="B39" s="210" t="s">
        <v>1532</v>
      </c>
      <c r="C39" s="232">
        <f ca="1">ROUND(C33*F20,0)</f>
        <v>11</v>
      </c>
      <c r="D39" s="232"/>
      <c r="E39" s="232"/>
      <c r="F39" s="233">
        <f>F20</f>
        <v>0.03</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11</v>
      </c>
      <c r="D41" s="235">
        <f ca="1">C44</f>
        <v>5.9999999999999995E-4</v>
      </c>
      <c r="E41" s="236" t="s">
        <v>1536</v>
      </c>
      <c r="F41" s="237">
        <f ca="1">F22</f>
        <v>3.1300000000000001E-2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11</v>
      </c>
      <c r="D42" s="238"/>
      <c r="E42" s="238"/>
      <c r="F42" s="239"/>
      <c r="G42" s="3683" t="s">
        <v>1541</v>
      </c>
    </row>
    <row r="43" spans="1:7" ht="13.5" customHeight="1">
      <c r="A43" s="779" t="s">
        <v>347</v>
      </c>
      <c r="B43" s="215" t="s">
        <v>1542</v>
      </c>
      <c r="C43" s="238">
        <f ca="1">ROUND(IF('数据-取费表'!B22&lt;=1,C39*F22*'数据-取费表'!B21/2,C39*(POWER((1+F22),'数据-取费表'!B21/2)-1)),0)</f>
        <v>0</v>
      </c>
      <c r="D43" s="238"/>
      <c r="E43" s="238"/>
      <c r="F43" s="239"/>
      <c r="G43" s="3684"/>
    </row>
    <row r="44" spans="1:7" ht="13.5" customHeight="1">
      <c r="A44" s="779" t="s">
        <v>348</v>
      </c>
      <c r="B44" s="215" t="s">
        <v>1543</v>
      </c>
      <c r="C44" s="238">
        <f ca="1">ROUND(IF('数据-取费表'!B22&lt;=1,C40*F22*'数据-取费表'!B21/2,C40*(POWER((1+F22),'数据-取费表'!B21/2)-1)),4)</f>
        <v>5.9999999999999995E-4</v>
      </c>
      <c r="D44" s="238"/>
      <c r="E44" s="238"/>
      <c r="F44" s="239"/>
      <c r="G44" s="3685"/>
    </row>
    <row r="45" spans="1:7" s="214" customFormat="1" ht="13.5" customHeight="1">
      <c r="A45" s="255" t="s">
        <v>1544</v>
      </c>
      <c r="B45" s="244" t="s">
        <v>1510</v>
      </c>
      <c r="C45" s="245">
        <f ca="1">C46</f>
        <v>57</v>
      </c>
      <c r="D45" s="235">
        <f ca="1">C47</f>
        <v>3.0000000000000001E-3</v>
      </c>
      <c r="E45" s="236" t="s">
        <v>1536</v>
      </c>
      <c r="F45" s="246">
        <f ca="1">F27</f>
        <v>0.15</v>
      </c>
      <c r="G45" s="247" t="s">
        <v>1545</v>
      </c>
    </row>
    <row r="46" spans="1:7" s="214" customFormat="1" ht="13.5" customHeight="1">
      <c r="A46" s="779" t="s">
        <v>346</v>
      </c>
      <c r="B46" s="248" t="s">
        <v>1546</v>
      </c>
      <c r="C46" s="249">
        <f ca="1">ROUND((C33+C39)*F27,0)</f>
        <v>57</v>
      </c>
      <c r="D46" s="263"/>
      <c r="E46" s="236"/>
      <c r="F46" s="246"/>
      <c r="G46" s="247"/>
    </row>
    <row r="47" spans="1:7" s="214" customFormat="1" ht="13.5" customHeight="1">
      <c r="A47" s="779" t="s">
        <v>347</v>
      </c>
      <c r="B47" s="248" t="s">
        <v>1547</v>
      </c>
      <c r="C47" s="238">
        <f ca="1">ROUND(C40*F27,4)</f>
        <v>3.0000000000000001E-3</v>
      </c>
      <c r="D47" s="263"/>
      <c r="E47" s="236"/>
      <c r="F47" s="246"/>
      <c r="G47" s="247"/>
    </row>
    <row r="48" spans="1:7" s="214" customFormat="1" ht="13.5" customHeight="1">
      <c r="A48" s="255" t="s">
        <v>1509</v>
      </c>
      <c r="B48" s="210" t="s">
        <v>1548</v>
      </c>
      <c r="C48" s="1326">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482</v>
      </c>
      <c r="D49" s="232"/>
      <c r="E49" s="232"/>
      <c r="F49" s="264"/>
      <c r="G49" s="234" t="s">
        <v>1551</v>
      </c>
    </row>
    <row r="50" spans="1:7" s="258" customFormat="1" ht="24">
      <c r="A50" s="255" t="s">
        <v>1552</v>
      </c>
      <c r="B50" s="210" t="s">
        <v>1553</v>
      </c>
      <c r="C50" s="232"/>
      <c r="D50" s="232"/>
      <c r="E50" s="232"/>
      <c r="F50" s="264">
        <f>IF('数据-取费表'!B24=0,'数据-取费表'!N16,1)</f>
        <v>0.67</v>
      </c>
      <c r="G50" s="247" t="s">
        <v>1554</v>
      </c>
    </row>
    <row r="51" spans="1:7" ht="16.5" customHeight="1">
      <c r="A51" s="255" t="s">
        <v>1555</v>
      </c>
      <c r="B51" s="210" t="s">
        <v>1556</v>
      </c>
      <c r="C51" s="232">
        <f ca="1">ROUND(C49*F50,0)</f>
        <v>323</v>
      </c>
      <c r="D51" s="232"/>
      <c r="E51" s="232"/>
      <c r="F51" s="264"/>
      <c r="G51" s="234" t="s">
        <v>1557</v>
      </c>
    </row>
    <row r="52" spans="1:7" s="208" customFormat="1" ht="16.5" thickBot="1">
      <c r="A52" s="265" t="s">
        <v>1558</v>
      </c>
      <c r="B52" s="266"/>
      <c r="C52" s="267">
        <f ca="1">C31+C51</f>
        <v>338</v>
      </c>
      <c r="D52" s="266"/>
      <c r="E52" s="266"/>
      <c r="F52" s="266"/>
      <c r="G52" s="268"/>
    </row>
    <row r="55" spans="1:7" ht="15">
      <c r="B55" s="270" t="s">
        <v>1559</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c r="C1" s="1858" t="s">
        <v>1560</v>
      </c>
      <c r="D1" s="198"/>
      <c r="E1" s="198"/>
      <c r="F1" s="198"/>
      <c r="G1" s="1125">
        <f>MATCH(B1,'数据-取费表'!A6:A16,0)+5</f>
        <v>7</v>
      </c>
      <c r="H1" s="1060" t="str">
        <f>IF(ISERROR(FIND("住宅",B1)),"非住宅","住宅")</f>
        <v>非住宅</v>
      </c>
    </row>
    <row r="2" spans="1:8" s="200" customFormat="1" ht="18" customHeight="1">
      <c r="A2" s="201" t="s">
        <v>1459</v>
      </c>
      <c r="B2" s="3422">
        <f ca="1">ROUND(IF(D2="——",C52/10000,C52/10000-E2),4)</f>
        <v>354.08569999999997</v>
      </c>
      <c r="C2" s="199" t="s">
        <v>1460</v>
      </c>
      <c r="D2" s="1852" t="s">
        <v>43</v>
      </c>
      <c r="E2" s="1168"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6199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114248</v>
      </c>
      <c r="D5" s="211" t="s">
        <v>1466</v>
      </c>
      <c r="E5" s="212" t="s">
        <v>1467</v>
      </c>
      <c r="F5" s="212" t="s">
        <v>1468</v>
      </c>
      <c r="G5" s="213"/>
    </row>
    <row r="6" spans="1:8" s="214" customFormat="1" ht="13.5" customHeight="1">
      <c r="A6" s="777" t="s">
        <v>1469</v>
      </c>
      <c r="B6" s="215" t="s">
        <v>1470</v>
      </c>
      <c r="C6" s="216"/>
      <c r="D6" s="217"/>
      <c r="E6" s="218"/>
      <c r="F6" s="218"/>
      <c r="G6" s="219"/>
    </row>
    <row r="7" spans="1:8" s="214" customFormat="1" ht="13.5" customHeight="1">
      <c r="A7" s="777" t="s">
        <v>1471</v>
      </c>
      <c r="B7" s="215" t="s">
        <v>1472</v>
      </c>
      <c r="C7" s="220">
        <f>ROUND(C6*F7,0)</f>
        <v>0</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114248</v>
      </c>
      <c r="D8" s="222"/>
      <c r="E8" s="220"/>
      <c r="F8" s="221"/>
      <c r="G8" s="1855"/>
    </row>
    <row r="9" spans="1:8" s="214" customFormat="1" ht="13.5" customHeight="1">
      <c r="A9" s="778" t="s">
        <v>355</v>
      </c>
      <c r="B9" s="224" t="s">
        <v>1475</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1477</v>
      </c>
      <c r="C10" s="225">
        <f ca="1">ROUND(D10*E10,0)</f>
        <v>114248</v>
      </c>
      <c r="D10" s="844">
        <f ca="1">IF(B1="",'数据-汇总表'!E6,IF(INDIRECT("'数据-取费表'!c"&amp;$G$1)="住宅",INDIRECT("'数据-取费表'!s"&amp;$G$1),INDIRECT("'数据-取费表'!k"&amp;$G$1)+INDIRECT("'数据-取费表'!s"&amp;$G$1)))</f>
        <v>571.24</v>
      </c>
      <c r="E10" s="225">
        <f>'数据-取费表'!B28</f>
        <v>200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f ca="1">IF(G19="已包含在土地取得成本中","0",ROUND(D19*E19,0))</f>
        <v>114248</v>
      </c>
      <c r="D19" s="848">
        <f ca="1">D9+D10</f>
        <v>571.24</v>
      </c>
      <c r="E19" s="211">
        <f>'数据-取费表'!B31</f>
        <v>200</v>
      </c>
      <c r="F19" s="231"/>
      <c r="G19" s="1855"/>
    </row>
    <row r="20" spans="1:7" s="214" customFormat="1" ht="13.5" customHeight="1">
      <c r="A20" s="255" t="s">
        <v>1571</v>
      </c>
      <c r="B20" s="210" t="s">
        <v>1572</v>
      </c>
      <c r="C20" s="232">
        <f ca="1">ROUND((C5+C19)*F20,0)</f>
        <v>6855</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6">
        <f ca="1">ROUND(SUM(C23:C25),0)</f>
        <v>14743</v>
      </c>
      <c r="D22" s="235">
        <f ca="1">C26</f>
        <v>5.9999999999999995E-4</v>
      </c>
      <c r="E22" s="236" t="s">
        <v>1576</v>
      </c>
      <c r="F22" s="237">
        <f ca="1">'数据-取费表'!B40</f>
        <v>3.1300000000000001E-2</v>
      </c>
      <c r="G22" s="234" t="str">
        <f>IF('数据-取费表'!B22&lt;=1,"单利计息","复利计息")</f>
        <v>复利计息</v>
      </c>
    </row>
    <row r="23" spans="1:7" s="214" customFormat="1" ht="13.5" customHeight="1">
      <c r="A23" s="779" t="s">
        <v>1469</v>
      </c>
      <c r="B23" s="215" t="s">
        <v>1580</v>
      </c>
      <c r="C23" s="1127">
        <f ca="1">ROUND(IF('数据-取费表'!B22&lt;=1,C5*F22*'数据-取费表'!B22,C5*(POWER((1+F22),'数据-取费表'!B22)-1)),0)</f>
        <v>7264</v>
      </c>
      <c r="D23" s="238"/>
      <c r="E23" s="238"/>
      <c r="F23" s="239"/>
      <c r="G23" s="240" t="s">
        <v>1581</v>
      </c>
    </row>
    <row r="24" spans="1:7" s="214" customFormat="1" ht="13.5" customHeight="1">
      <c r="A24" s="779" t="s">
        <v>1471</v>
      </c>
      <c r="B24" s="215" t="s">
        <v>1582</v>
      </c>
      <c r="C24" s="1127">
        <f ca="1">ROUND(IF('数据-取费表'!B22&lt;=1,C19*F22*('数据-取费表'!B19/2+'数据-取费表'!B20),C19*(POWER((1+F22),('数据-取费表'!B19/2+'数据-取费表'!B20))-1)),0)</f>
        <v>7264</v>
      </c>
      <c r="D24" s="238"/>
      <c r="E24" s="238"/>
      <c r="F24" s="239"/>
      <c r="G24" s="240" t="s">
        <v>1583</v>
      </c>
    </row>
    <row r="25" spans="1:7" s="214" customFormat="1" ht="24">
      <c r="A25" s="779" t="s">
        <v>1473</v>
      </c>
      <c r="B25" s="215" t="s">
        <v>1584</v>
      </c>
      <c r="C25" s="1127">
        <f ca="1">ROUND(IF('数据-取费表'!B22&lt;=1,C20*F22*'数据-取费表'!B22/2,C20*(POWER((1+F22),'数据-取费表'!B22/2)-1)),0)</f>
        <v>215</v>
      </c>
      <c r="D25" s="238"/>
      <c r="E25" s="241"/>
      <c r="F25" s="239"/>
      <c r="G25" s="242" t="s">
        <v>1585</v>
      </c>
    </row>
    <row r="26" spans="1:7" s="214" customFormat="1">
      <c r="A26" s="779"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35303</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35303</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309172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3659364</v>
      </c>
      <c r="D33" s="232"/>
      <c r="E33" s="212"/>
      <c r="F33" s="241"/>
      <c r="G33" s="234"/>
    </row>
    <row r="34" spans="1:7" s="258" customFormat="1" ht="13.5" customHeight="1">
      <c r="A34" s="779" t="s">
        <v>346</v>
      </c>
      <c r="B34" s="215" t="s">
        <v>1522</v>
      </c>
      <c r="C34" s="220">
        <f ca="1">ROUND(IF(B1="",SUMPRODUCT('数据-取费表'!K6:K14,'数据-取费表'!L6:L14),INDIRECT("'数据-取费表'!l"&amp;$G$1)*INDIRECT("'数据-取费表'!k"&amp;$G$1)+'数据-取费表'!L14*INDIRECT("'数据-取费表'!S"&amp;$G$1)),0)</f>
        <v>3313192</v>
      </c>
      <c r="D34" s="217"/>
      <c r="E34" s="220"/>
      <c r="F34" s="257"/>
      <c r="G34" s="219"/>
    </row>
    <row r="35" spans="1:7" ht="13.5" customHeight="1">
      <c r="A35" s="779" t="s">
        <v>351</v>
      </c>
      <c r="B35" s="215" t="s">
        <v>1524</v>
      </c>
      <c r="C35" s="220">
        <f ca="1">ROUND(C34*F35,0)</f>
        <v>165660</v>
      </c>
      <c r="D35" s="220"/>
      <c r="E35" s="220"/>
      <c r="F35" s="259">
        <f>'数据-取费表'!B33</f>
        <v>0.05</v>
      </c>
      <c r="G35" s="219" t="s">
        <v>1525</v>
      </c>
    </row>
    <row r="36" spans="1:7" ht="24">
      <c r="A36" s="779"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9" t="s">
        <v>353</v>
      </c>
      <c r="B37" s="215" t="s">
        <v>1528</v>
      </c>
      <c r="C37" s="249">
        <f ca="1">ROUND(E37*D37,0)</f>
        <v>114248</v>
      </c>
      <c r="D37" s="217">
        <f ca="1">D19</f>
        <v>571.24</v>
      </c>
      <c r="E37" s="249">
        <f>'数据-取费表'!B35</f>
        <v>200</v>
      </c>
      <c r="F37" s="259"/>
      <c r="G37" s="261"/>
    </row>
    <row r="38" spans="1:7" ht="13.5" customHeight="1">
      <c r="A38" s="779" t="s">
        <v>354</v>
      </c>
      <c r="B38" s="215" t="s">
        <v>1530</v>
      </c>
      <c r="C38" s="220">
        <f ca="1">ROUND(C34*F38,0)</f>
        <v>66264</v>
      </c>
      <c r="D38" s="220"/>
      <c r="E38" s="220"/>
      <c r="F38" s="259">
        <f>'数据-取费表'!B36</f>
        <v>0.02</v>
      </c>
      <c r="G38" s="219" t="s">
        <v>1525</v>
      </c>
    </row>
    <row r="39" spans="1:7" s="214" customFormat="1" ht="13.5" customHeight="1">
      <c r="A39" s="255" t="s">
        <v>1531</v>
      </c>
      <c r="B39" s="210" t="s">
        <v>1532</v>
      </c>
      <c r="C39" s="232">
        <f ca="1">ROUND(C33*F20,0)</f>
        <v>109781</v>
      </c>
      <c r="D39" s="232"/>
      <c r="E39" s="232"/>
      <c r="F39" s="233">
        <f>F20</f>
        <v>0.03</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117974</v>
      </c>
      <c r="D41" s="235">
        <f ca="1">C44</f>
        <v>5.9999999999999995E-4</v>
      </c>
      <c r="E41" s="236" t="s">
        <v>1536</v>
      </c>
      <c r="F41" s="237">
        <f ca="1">F22</f>
        <v>3.1300000000000001E-2</v>
      </c>
      <c r="G41" s="234" t="str">
        <f>IF('数据-取费表'!B22&lt;=1,"单利计息","复利计息")</f>
        <v>复利计息</v>
      </c>
    </row>
    <row r="42" spans="1:7" ht="13.5" customHeight="1">
      <c r="A42" s="779" t="s">
        <v>346</v>
      </c>
      <c r="B42" s="215" t="s">
        <v>1540</v>
      </c>
      <c r="C42" s="238">
        <f ca="1">ROUND(IF('数据-取费表'!B22&lt;=1,C33*F22*'数据-取费表'!B20/2,C33*(POWER((1+F22),'数据-取费表'!B20/2)-1)),0)</f>
        <v>114538</v>
      </c>
      <c r="D42" s="238"/>
      <c r="E42" s="238"/>
      <c r="F42" s="239"/>
      <c r="G42" s="3683" t="s">
        <v>1588</v>
      </c>
    </row>
    <row r="43" spans="1:7" ht="13.5" customHeight="1">
      <c r="A43" s="779" t="s">
        <v>347</v>
      </c>
      <c r="B43" s="215" t="s">
        <v>1542</v>
      </c>
      <c r="C43" s="238">
        <f ca="1">ROUND(IF('数据-取费表'!B22&lt;=1,C39*F22*'数据-取费表'!B20/2,C39*(POWER((1+F22),'数据-取费表'!B20/2)-1)),0)</f>
        <v>3436</v>
      </c>
      <c r="D43" s="238"/>
      <c r="E43" s="238"/>
      <c r="F43" s="239"/>
      <c r="G43" s="3684"/>
    </row>
    <row r="44" spans="1:7" ht="13.5" customHeight="1">
      <c r="A44" s="779" t="s">
        <v>348</v>
      </c>
      <c r="B44" s="215" t="s">
        <v>1543</v>
      </c>
      <c r="C44" s="238">
        <f ca="1">ROUND(IF('数据-取费表'!B22&lt;=1,C40*F22*'数据-取费表'!B20/2,C40*(POWER((1+F22),'数据-取费表'!B20/2)-1)),4)</f>
        <v>5.9999999999999995E-4</v>
      </c>
      <c r="D44" s="238"/>
      <c r="E44" s="238"/>
      <c r="F44" s="239"/>
      <c r="G44" s="3685"/>
    </row>
    <row r="45" spans="1:7" s="214" customFormat="1" ht="13.5" customHeight="1">
      <c r="A45" s="255" t="s">
        <v>1544</v>
      </c>
      <c r="B45" s="244" t="s">
        <v>1510</v>
      </c>
      <c r="C45" s="245">
        <f ca="1">C46</f>
        <v>565372</v>
      </c>
      <c r="D45" s="235">
        <f ca="1">C47</f>
        <v>3.0000000000000001E-3</v>
      </c>
      <c r="E45" s="236" t="s">
        <v>1536</v>
      </c>
      <c r="F45" s="246">
        <f ca="1">F27</f>
        <v>0.15</v>
      </c>
      <c r="G45" s="247" t="s">
        <v>1545</v>
      </c>
    </row>
    <row r="46" spans="1:7" s="214" customFormat="1" ht="13.5" customHeight="1">
      <c r="A46" s="779" t="s">
        <v>346</v>
      </c>
      <c r="B46" s="248" t="s">
        <v>1546</v>
      </c>
      <c r="C46" s="249">
        <f ca="1">ROUND((C33+C39)*F27,0)</f>
        <v>565372</v>
      </c>
      <c r="D46" s="263"/>
      <c r="E46" s="236"/>
      <c r="F46" s="246"/>
      <c r="G46" s="247"/>
    </row>
    <row r="47" spans="1:7" s="214" customFormat="1" ht="13.5" customHeight="1">
      <c r="A47" s="779"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4823411</v>
      </c>
      <c r="D49" s="232"/>
      <c r="E49" s="232"/>
      <c r="F49" s="264"/>
      <c r="G49" s="234" t="s">
        <v>1551</v>
      </c>
    </row>
    <row r="50" spans="1:7" s="258" customFormat="1">
      <c r="A50" s="255" t="s">
        <v>1552</v>
      </c>
      <c r="B50" s="210" t="s">
        <v>1553</v>
      </c>
      <c r="C50" s="232"/>
      <c r="D50" s="232"/>
      <c r="E50" s="232"/>
      <c r="F50" s="264">
        <f>IF('数据-取费表'!B24=0,'数据-取费表'!N16,1)</f>
        <v>0.67</v>
      </c>
      <c r="G50" s="247"/>
    </row>
    <row r="51" spans="1:7" ht="16.5" customHeight="1">
      <c r="A51" s="255" t="s">
        <v>1555</v>
      </c>
      <c r="B51" s="210" t="s">
        <v>1590</v>
      </c>
      <c r="C51" s="232">
        <f ca="1">ROUND(C49*F50,0)</f>
        <v>3231685</v>
      </c>
      <c r="D51" s="232"/>
      <c r="E51" s="232"/>
      <c r="F51" s="264"/>
      <c r="G51" s="234" t="s">
        <v>1557</v>
      </c>
    </row>
    <row r="52" spans="1:7" s="208" customFormat="1" ht="16.5" thickBot="1">
      <c r="A52" s="265" t="s">
        <v>1558</v>
      </c>
      <c r="B52" s="266"/>
      <c r="C52" s="267">
        <f ca="1">C31+C51</f>
        <v>3540857</v>
      </c>
      <c r="D52" s="266"/>
      <c r="E52" s="266"/>
      <c r="F52" s="266"/>
      <c r="G52" s="268"/>
    </row>
    <row r="55" spans="1:7" ht="15">
      <c r="B55" s="270" t="s">
        <v>1559</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90"/>
      <c r="C1" s="1191"/>
      <c r="D1" s="1189"/>
      <c r="E1" s="2804"/>
      <c r="F1" s="2804"/>
      <c r="G1" s="2670"/>
      <c r="H1" s="2804"/>
      <c r="I1" s="2804"/>
      <c r="J1" s="2804"/>
      <c r="K1" s="2805">
        <f>MATCH(C1,'数据-取费表'!A6:A16,0)+5</f>
        <v>7</v>
      </c>
    </row>
    <row r="2" spans="1:33" ht="18" customHeight="1">
      <c r="A2" s="201" t="s">
        <v>1459</v>
      </c>
      <c r="B2" s="204">
        <f ca="1">C32</f>
        <v>-13</v>
      </c>
      <c r="C2" s="276" t="s">
        <v>1592</v>
      </c>
      <c r="D2" s="276"/>
      <c r="E2" s="2804"/>
      <c r="F2" s="2804"/>
      <c r="G2" s="2804"/>
      <c r="H2" s="2804"/>
      <c r="I2" s="2804"/>
      <c r="J2" s="2804"/>
      <c r="K2" s="2804"/>
    </row>
    <row r="3" spans="1:33" ht="18" customHeight="1" thickBot="1">
      <c r="A3" s="203" t="s">
        <v>1461</v>
      </c>
      <c r="B3" s="204">
        <f ca="1">ROUND(B2*10000/IF(C1="",'数据-汇总表'!E3,INDIRECT("'数据-取费表'!K"&amp;$K$1)),0)</f>
        <v>-228</v>
      </c>
      <c r="C3" s="276" t="s">
        <v>1593</v>
      </c>
      <c r="D3" s="276"/>
      <c r="E3" s="2804"/>
      <c r="F3" s="2804"/>
      <c r="G3" s="2804"/>
      <c r="H3" s="2804"/>
      <c r="I3" s="2804"/>
      <c r="J3" s="2804"/>
      <c r="K3" s="2804"/>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571.24</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0.02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571.24</v>
      </c>
      <c r="E17" s="21">
        <f>'数据-取费表'!B32</f>
        <v>0</v>
      </c>
      <c r="F17" s="805"/>
      <c r="G17" s="131" t="s">
        <v>1620</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11</v>
      </c>
      <c r="D18" s="845"/>
      <c r="E18" s="21"/>
      <c r="F18" s="803"/>
      <c r="G18" s="1861"/>
      <c r="H18" s="1186"/>
      <c r="I18" s="1862" t="s">
        <v>1622</v>
      </c>
      <c r="J18" s="806"/>
      <c r="K18" s="807"/>
    </row>
    <row r="19" spans="1:33" s="802" customFormat="1" ht="13.5" customHeight="1">
      <c r="A19" s="799" t="s">
        <v>360</v>
      </c>
      <c r="B19" s="800" t="s">
        <v>1623</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1624</v>
      </c>
      <c r="C20" s="21">
        <f ca="1">ROUND(D20*E20/10000,0)</f>
        <v>11</v>
      </c>
      <c r="D20" s="845">
        <f ca="1">IF(C1="",'数据-汇总表'!E6,IF(INDIRECT("'数据-取费表'!c"&amp;$K$1)="住宅",INDIRECT("'数据-取费表'!s"&amp;$K$1),INDIRECT("'数据-取费表'!k"&amp;$K$1)+INDIRECT("'数据-取费表'!s"&amp;$K$1)))</f>
        <v>571.24</v>
      </c>
      <c r="E20" s="21">
        <f>'数据-取费表'!B28</f>
        <v>200</v>
      </c>
      <c r="F20" s="803"/>
      <c r="G20" s="12"/>
      <c r="H20" s="808"/>
      <c r="I20" s="808"/>
      <c r="J20" s="808"/>
      <c r="K20" s="809"/>
    </row>
    <row r="21" spans="1:33" s="802" customFormat="1" ht="13.5" customHeight="1">
      <c r="A21" s="789" t="s">
        <v>357</v>
      </c>
      <c r="B21" s="812" t="s">
        <v>1625</v>
      </c>
      <c r="C21" s="813">
        <f ca="1">C16+C17+C18</f>
        <v>11</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0.03</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1638</v>
      </c>
      <c r="B28" s="1864" t="s">
        <v>1639</v>
      </c>
      <c r="C28" s="287">
        <f ca="1">C30</f>
        <v>2</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2</v>
      </c>
      <c r="D30" s="284"/>
      <c r="E30" s="285"/>
      <c r="F30" s="290"/>
      <c r="G30" s="131"/>
      <c r="H30" s="806"/>
      <c r="I30" s="806"/>
      <c r="J30" s="806"/>
      <c r="K30" s="807"/>
    </row>
    <row r="31" spans="1:33" s="802" customFormat="1" ht="13.5" customHeight="1" thickBot="1">
      <c r="A31" s="1865" t="s">
        <v>1643</v>
      </c>
      <c r="B31" s="832" t="s">
        <v>1644</v>
      </c>
      <c r="C31" s="833">
        <f>ROUND(C4*F31/(1+'数据-取费表'!C42),0)</f>
        <v>0</v>
      </c>
      <c r="D31" s="834"/>
      <c r="E31" s="835"/>
      <c r="F31" s="836">
        <f>'数据-取费表'!B41</f>
        <v>5.6000000000000001E-2</v>
      </c>
      <c r="G31" s="837" t="s">
        <v>1645</v>
      </c>
      <c r="H31" s="838"/>
      <c r="I31" s="838"/>
      <c r="J31" s="838"/>
      <c r="K31" s="839"/>
    </row>
    <row r="32" spans="1:33" s="798" customFormat="1" ht="13.5" customHeight="1" thickBot="1">
      <c r="A32" s="827" t="s">
        <v>1646</v>
      </c>
      <c r="B32" s="828"/>
      <c r="C32" s="829">
        <f ca="1">ROUND((C4-C21-C22-C23-C25-C28-C31)/(1+C24+D25+D28),0)</f>
        <v>-13</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88" t="s">
        <v>694</v>
      </c>
      <c r="C6" s="1073">
        <f ca="1">ROUND(F6*F8*F7*(1-F9)/10000,0)</f>
        <v>0</v>
      </c>
      <c r="D6" s="155" t="s">
        <v>2105</v>
      </c>
      <c r="E6" s="302" t="s">
        <v>696</v>
      </c>
      <c r="F6" s="303">
        <f ca="1">INDIRECT("'数据-取费表'!u"&amp;$G$1)</f>
        <v>0</v>
      </c>
      <c r="G6" s="1383"/>
      <c r="H6" s="1068" t="s">
        <v>398</v>
      </c>
      <c r="I6" s="3688" t="s">
        <v>694</v>
      </c>
      <c r="J6" s="301">
        <f ca="1">ROUND(M6*M8*M7*(1-M9)/10000,0)</f>
        <v>0</v>
      </c>
      <c r="K6" s="155" t="s">
        <v>2104</v>
      </c>
      <c r="L6" s="302" t="s">
        <v>696</v>
      </c>
      <c r="M6" s="303">
        <f ca="1">INDIRECT("'数据-取费表'!z"&amp;$G$1)</f>
        <v>0</v>
      </c>
    </row>
    <row r="7" spans="1:37" ht="18" customHeight="1">
      <c r="A7" s="1072"/>
      <c r="B7" s="3689"/>
      <c r="C7" s="1074"/>
      <c r="D7" s="307"/>
      <c r="E7" s="1075" t="s">
        <v>697</v>
      </c>
      <c r="F7" s="303">
        <f ca="1">IF(INDIRECT("'数据-取费表'!ah"&amp;$G$1)="",INDIRECT("'数据-取费表'!k"&amp;$G$1),INDIRECT("'数据-取费表'!ah"&amp;$G$1))</f>
        <v>0</v>
      </c>
      <c r="G7" s="1383"/>
      <c r="H7" s="304"/>
      <c r="I7" s="3689"/>
      <c r="J7" s="306"/>
      <c r="K7" s="307"/>
      <c r="L7" s="302" t="s">
        <v>697</v>
      </c>
      <c r="M7" s="303">
        <f ca="1">F7</f>
        <v>0</v>
      </c>
    </row>
    <row r="8" spans="1:37" ht="18" customHeight="1">
      <c r="A8" s="304"/>
      <c r="B8" s="3689"/>
      <c r="C8" s="306"/>
      <c r="D8" s="307"/>
      <c r="E8" s="302" t="s">
        <v>698</v>
      </c>
      <c r="F8" s="303">
        <f ca="1">INDIRECT("'数据-取费表'!ai"&amp;$G$1)</f>
        <v>0</v>
      </c>
      <c r="G8" s="1383"/>
      <c r="H8" s="304"/>
      <c r="I8" s="3689"/>
      <c r="J8" s="306"/>
      <c r="K8" s="307"/>
      <c r="L8" s="302" t="s">
        <v>698</v>
      </c>
      <c r="M8" s="303">
        <f ca="1">INDIRECT("'数据-取费表'!ai"&amp;$G$1)</f>
        <v>0</v>
      </c>
    </row>
    <row r="9" spans="1:37" ht="18" customHeight="1">
      <c r="A9" s="304"/>
      <c r="B9" s="3690"/>
      <c r="C9" s="306"/>
      <c r="D9" s="307"/>
      <c r="E9" s="302" t="s">
        <v>699</v>
      </c>
      <c r="F9" s="312">
        <f ca="1">INDIRECT("'数据-取费表'!w"&amp;$G$1)</f>
        <v>0</v>
      </c>
      <c r="G9" s="1383"/>
      <c r="H9" s="304"/>
      <c r="I9" s="3690"/>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2113</v>
      </c>
      <c r="E10" s="313" t="s">
        <v>701</v>
      </c>
      <c r="F10" s="1115"/>
      <c r="G10" s="1383"/>
      <c r="H10" s="1068" t="s">
        <v>402</v>
      </c>
      <c r="I10" s="1364" t="s">
        <v>700</v>
      </c>
      <c r="J10" s="301">
        <f ca="1">ROUND(IF(M10="押一",J6/12*M11,IF(M10="押二",J6/12*2*M11,IF(M10="押三",J6/12*3*M11,J11*M11))),0)</f>
        <v>0</v>
      </c>
      <c r="K10" s="1365" t="s">
        <v>2112</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6" t="s">
        <v>2302</v>
      </c>
      <c r="I31" s="1397"/>
      <c r="J31" s="1398"/>
      <c r="K31" s="2474"/>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30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3"/>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3"/>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2106</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2112</v>
      </c>
      <c r="E53" s="313" t="s">
        <v>701</v>
      </c>
      <c r="F53" s="1115"/>
      <c r="I53" s="1438" t="s">
        <v>836</v>
      </c>
      <c r="J53" s="2167">
        <f ca="1">IF(M47="住宅",IF(D1="——",MAX(J51,L48),MAX(J51,L48-'数据-取费表'!B24)),IF(D1="——",MIN(J51,L48),MIN(J51,L48-'数据-取费表'!B24)))</f>
        <v>0</v>
      </c>
      <c r="K53" s="3686" t="s">
        <v>837</v>
      </c>
      <c r="L53" s="3687"/>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21</v>
      </c>
      <c r="E1" s="3431" t="s">
        <v>3436</v>
      </c>
      <c r="F1" s="1878" t="s">
        <v>3437</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f>IF(E1="项目模式",IF(C2="——",ROUND(C50*D3/10000,0),ROUND(C50*D3/10000,0)-D2),IF(E1="单套模式",IF(C2="——",ROUND(C50*D3/10000,4),ROUND(C50*D3/10000,4)-D2)))</f>
        <v>4167.8813</v>
      </c>
      <c r="C2" s="1880" t="s">
        <v>43</v>
      </c>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72962</v>
      </c>
      <c r="C3" s="354" t="s">
        <v>1765</v>
      </c>
      <c r="D3" s="353">
        <f>IF(D1="",'数据-汇总表'!E3,SUMIF('数据-汇总表'!$C19:$C33,D1,'数据-汇总表'!$E19:$E33))</f>
        <v>571.24</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1766</v>
      </c>
      <c r="B4" s="356"/>
      <c r="C4" s="3712" t="s">
        <v>1767</v>
      </c>
      <c r="D4" s="3713"/>
      <c r="E4" s="3714" t="s">
        <v>1768</v>
      </c>
      <c r="F4" s="3715"/>
      <c r="G4" s="3712" t="s">
        <v>1769</v>
      </c>
      <c r="H4" s="3713"/>
      <c r="I4" s="3712" t="s">
        <v>1770</v>
      </c>
      <c r="J4" s="3713"/>
      <c r="K4" s="559" t="s">
        <v>1771</v>
      </c>
      <c r="L4" s="2713"/>
      <c r="M4" s="2714"/>
      <c r="N4" s="2714"/>
      <c r="O4" s="2714"/>
      <c r="P4" s="3716" t="s">
        <v>1772</v>
      </c>
      <c r="Q4" s="3717"/>
      <c r="R4" s="3696" t="s">
        <v>1768</v>
      </c>
      <c r="S4" s="3697"/>
      <c r="T4" s="3696" t="s">
        <v>1769</v>
      </c>
      <c r="U4" s="3697"/>
      <c r="V4" s="3724" t="s">
        <v>1770</v>
      </c>
      <c r="W4" s="3724"/>
      <c r="X4" s="1957"/>
      <c r="Y4" s="3696" t="s">
        <v>1772</v>
      </c>
      <c r="Z4" s="3697"/>
      <c r="AA4" s="3691" t="s">
        <v>1768</v>
      </c>
      <c r="AB4" s="3691" t="s">
        <v>1769</v>
      </c>
      <c r="AC4" s="3709" t="s">
        <v>1770</v>
      </c>
    </row>
    <row r="5" spans="1:29" ht="15">
      <c r="A5" s="358"/>
      <c r="B5" s="359"/>
      <c r="C5" s="3702" t="s">
        <v>3438</v>
      </c>
      <c r="D5" s="3703"/>
      <c r="E5" s="3700" t="s">
        <v>3488</v>
      </c>
      <c r="F5" s="3701"/>
      <c r="G5" s="3702" t="s">
        <v>3502</v>
      </c>
      <c r="H5" s="3703"/>
      <c r="I5" s="3702" t="s">
        <v>3503</v>
      </c>
      <c r="J5" s="3703"/>
      <c r="K5" s="559"/>
      <c r="L5" s="2713"/>
      <c r="M5" s="2714"/>
      <c r="N5" s="2714"/>
      <c r="O5" s="2714"/>
      <c r="P5" s="3718"/>
      <c r="Q5" s="3719"/>
      <c r="R5" s="3698"/>
      <c r="S5" s="3699"/>
      <c r="T5" s="3698"/>
      <c r="U5" s="3699"/>
      <c r="V5" s="3725"/>
      <c r="W5" s="3725"/>
      <c r="X5" s="1354"/>
      <c r="Y5" s="3698"/>
      <c r="Z5" s="3699"/>
      <c r="AA5" s="3692"/>
      <c r="AB5" s="3692"/>
      <c r="AC5" s="3710"/>
    </row>
    <row r="6" spans="1:29" ht="15.75" thickBot="1">
      <c r="A6" s="360"/>
      <c r="B6" s="361"/>
      <c r="C6" s="3704" t="s">
        <v>1674</v>
      </c>
      <c r="D6" s="3705"/>
      <c r="E6" s="3706" t="s">
        <v>1674</v>
      </c>
      <c r="F6" s="3707"/>
      <c r="G6" s="3704" t="s">
        <v>1674</v>
      </c>
      <c r="H6" s="3705"/>
      <c r="I6" s="3704" t="s">
        <v>1674</v>
      </c>
      <c r="J6" s="3705"/>
      <c r="K6" s="559" t="s">
        <v>1675</v>
      </c>
      <c r="L6" s="2713"/>
      <c r="M6" s="2714"/>
      <c r="N6" s="2714"/>
      <c r="O6" s="2714"/>
      <c r="P6" s="3720"/>
      <c r="Q6" s="3721"/>
      <c r="R6" s="3698"/>
      <c r="S6" s="3699"/>
      <c r="T6" s="3722"/>
      <c r="U6" s="3723"/>
      <c r="V6" s="3725"/>
      <c r="W6" s="3725"/>
      <c r="X6" s="1354"/>
      <c r="Y6" s="3722"/>
      <c r="Z6" s="3723"/>
      <c r="AA6" s="3693"/>
      <c r="AB6" s="3693"/>
      <c r="AC6" s="3711"/>
    </row>
    <row r="7" spans="1:29" s="108" customFormat="1" ht="15.75" thickBot="1">
      <c r="A7" s="362" t="s">
        <v>1676</v>
      </c>
      <c r="B7" s="363"/>
      <c r="C7" s="364">
        <f>'数据-取费表'!B2</f>
        <v>45940</v>
      </c>
      <c r="D7" s="365">
        <v>100</v>
      </c>
      <c r="E7" s="366">
        <f>C7</f>
        <v>45940</v>
      </c>
      <c r="F7" s="367">
        <f>SUMIF(59:59,YEAR(E7)&amp;"-"&amp;MONTH(E7),60:60)</f>
        <v>100</v>
      </c>
      <c r="G7" s="366">
        <f>C7</f>
        <v>45940</v>
      </c>
      <c r="H7" s="365">
        <f>SUMIF(59:59,YEAR(G7)&amp;"-"&amp;MONTH(G7),60:60)</f>
        <v>100</v>
      </c>
      <c r="I7" s="366">
        <f>C7</f>
        <v>45940</v>
      </c>
      <c r="J7" s="365">
        <f>SUMIF(59:59,YEAR(I7)&amp;"-"&amp;MONTH(I7),60:60)</f>
        <v>100</v>
      </c>
      <c r="K7" s="560"/>
      <c r="L7" s="2715"/>
      <c r="M7" s="2716"/>
      <c r="N7" s="2716"/>
      <c r="O7" s="2716"/>
      <c r="P7" s="3726" t="s">
        <v>1677</v>
      </c>
      <c r="Q7" s="3727"/>
      <c r="R7" s="700" t="s">
        <v>14</v>
      </c>
      <c r="S7" s="701">
        <f t="shared" ref="S7:S15" si="0">F7</f>
        <v>100</v>
      </c>
      <c r="T7" s="700" t="s">
        <v>14</v>
      </c>
      <c r="U7" s="701">
        <f t="shared" ref="U7:U15" si="1">H7</f>
        <v>100</v>
      </c>
      <c r="V7" s="700" t="s">
        <v>14</v>
      </c>
      <c r="W7" s="701">
        <f t="shared" ref="W7:W15" si="2">J7</f>
        <v>100</v>
      </c>
      <c r="X7" s="702"/>
      <c r="Y7" s="3694" t="s">
        <v>1677</v>
      </c>
      <c r="Z7" s="3695"/>
      <c r="AA7" s="703">
        <f>D7/F7</f>
        <v>1</v>
      </c>
      <c r="AB7" s="703">
        <f>D7/H7</f>
        <v>1</v>
      </c>
      <c r="AC7" s="1958">
        <f>D7/J7</f>
        <v>1</v>
      </c>
    </row>
    <row r="8" spans="1:29" s="108" customFormat="1" ht="15.75" thickBot="1">
      <c r="A8" s="362" t="s">
        <v>1678</v>
      </c>
      <c r="B8" s="363"/>
      <c r="C8" s="368" t="s">
        <v>3439</v>
      </c>
      <c r="D8" s="365">
        <v>100</v>
      </c>
      <c r="E8" s="368" t="s">
        <v>3440</v>
      </c>
      <c r="F8" s="367">
        <f>SUMIF(62:62,E8,63:63)-SUMIF(62:62,C8,63:63)+100</f>
        <v>102</v>
      </c>
      <c r="G8" s="368" t="s">
        <v>3440</v>
      </c>
      <c r="H8" s="365">
        <f>SUMIF(62:62,G8,63:63)-SUMIF(62:62,C8,63:63)+100</f>
        <v>102</v>
      </c>
      <c r="I8" s="368" t="s">
        <v>3440</v>
      </c>
      <c r="J8" s="365">
        <f>SUMIF(62:62,I8,63:63)-SUMIF(62:62,C8,63:63)+100</f>
        <v>102</v>
      </c>
      <c r="K8" s="560"/>
      <c r="L8" s="2715"/>
      <c r="M8" s="2716"/>
      <c r="N8" s="2716"/>
      <c r="O8" s="2716"/>
      <c r="P8" s="3726" t="s">
        <v>1680</v>
      </c>
      <c r="Q8" s="3695"/>
      <c r="R8" s="700" t="s">
        <v>14</v>
      </c>
      <c r="S8" s="701">
        <f t="shared" si="0"/>
        <v>102</v>
      </c>
      <c r="T8" s="700" t="s">
        <v>14</v>
      </c>
      <c r="U8" s="701">
        <f t="shared" si="1"/>
        <v>102</v>
      </c>
      <c r="V8" s="700" t="s">
        <v>14</v>
      </c>
      <c r="W8" s="701">
        <f t="shared" si="2"/>
        <v>102</v>
      </c>
      <c r="X8" s="702"/>
      <c r="Y8" s="3694" t="s">
        <v>1680</v>
      </c>
      <c r="Z8" s="3695"/>
      <c r="AA8" s="703">
        <f t="shared" ref="AA8:AA47" si="3">D8/F8</f>
        <v>0.98039215686274506</v>
      </c>
      <c r="AB8" s="703">
        <f t="shared" ref="AB8:AB47" si="4">D8/H8</f>
        <v>0.98039215686274506</v>
      </c>
      <c r="AC8" s="1958">
        <f t="shared" ref="AC8:AC47" si="5">D8/J8</f>
        <v>0.98039215686274506</v>
      </c>
    </row>
    <row r="9" spans="1:29" s="108" customFormat="1">
      <c r="A9" s="369" t="s">
        <v>1681</v>
      </c>
      <c r="B9" s="63" t="s">
        <v>1682</v>
      </c>
      <c r="C9" s="3479" t="s">
        <v>3442</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8" t="s">
        <v>1683</v>
      </c>
      <c r="Q9" s="1342" t="str">
        <f t="shared" ref="Q9:Q15" si="6">B9</f>
        <v>用途</v>
      </c>
      <c r="R9" s="700" t="s">
        <v>14</v>
      </c>
      <c r="S9" s="701">
        <f t="shared" si="0"/>
        <v>100</v>
      </c>
      <c r="T9" s="700" t="s">
        <v>14</v>
      </c>
      <c r="U9" s="701">
        <f t="shared" si="1"/>
        <v>100</v>
      </c>
      <c r="V9" s="700" t="s">
        <v>14</v>
      </c>
      <c r="W9" s="701">
        <f t="shared" si="2"/>
        <v>100</v>
      </c>
      <c r="X9" s="702"/>
      <c r="Y9" s="3659" t="s">
        <v>1684</v>
      </c>
      <c r="Z9" s="52" t="str">
        <f t="shared" ref="Z9:Z15" si="7">Q9</f>
        <v>用途</v>
      </c>
      <c r="AA9" s="703">
        <f t="shared" si="3"/>
        <v>1</v>
      </c>
      <c r="AB9" s="703">
        <f t="shared" si="4"/>
        <v>1</v>
      </c>
      <c r="AC9" s="1958">
        <f t="shared" si="5"/>
        <v>1</v>
      </c>
    </row>
    <row r="10" spans="1:29" s="378" customFormat="1" ht="27">
      <c r="A10" s="374"/>
      <c r="B10" s="375" t="s">
        <v>1685</v>
      </c>
      <c r="C10" s="3432" t="str">
        <f>F66</f>
        <v>20（含）-10</v>
      </c>
      <c r="D10" s="127">
        <v>100</v>
      </c>
      <c r="E10" s="3432" t="str">
        <f>E66</f>
        <v>30（含）-20</v>
      </c>
      <c r="F10" s="127">
        <f>SUMIF(66:66,E10,67:67)-SUMIF(66:66,C10,67:67)+100</f>
        <v>102</v>
      </c>
      <c r="G10" s="3433" t="str">
        <f>E66</f>
        <v>30（含）-20</v>
      </c>
      <c r="H10" s="127">
        <f>SUMIF(66:66,G10,67:67)-SUMIF(66:66,C10,67:67)+100</f>
        <v>102</v>
      </c>
      <c r="I10" s="3432" t="str">
        <f>E66</f>
        <v>30（含）-20</v>
      </c>
      <c r="J10" s="127">
        <f>SUMIF(66:66,I10,67:67)-SUMIF(66:66,C10,67:67)+100</f>
        <v>102</v>
      </c>
      <c r="K10" s="560"/>
      <c r="L10" s="2717"/>
      <c r="M10" s="2718"/>
      <c r="N10" s="2718"/>
      <c r="O10" s="2718"/>
      <c r="P10" s="3708"/>
      <c r="Q10" s="1342" t="str">
        <f t="shared" si="6"/>
        <v>土地使用年限（年）</v>
      </c>
      <c r="R10" s="700" t="s">
        <v>14</v>
      </c>
      <c r="S10" s="701">
        <f t="shared" si="0"/>
        <v>102</v>
      </c>
      <c r="T10" s="700" t="s">
        <v>14</v>
      </c>
      <c r="U10" s="701">
        <f t="shared" si="1"/>
        <v>102</v>
      </c>
      <c r="V10" s="700" t="s">
        <v>14</v>
      </c>
      <c r="W10" s="701">
        <f t="shared" si="2"/>
        <v>102</v>
      </c>
      <c r="X10" s="702"/>
      <c r="Y10" s="3659"/>
      <c r="Z10" s="52" t="str">
        <f t="shared" si="7"/>
        <v>土地使用年限（年）</v>
      </c>
      <c r="AA10" s="703">
        <f t="shared" si="3"/>
        <v>0.98039215686274506</v>
      </c>
      <c r="AB10" s="703">
        <f t="shared" si="4"/>
        <v>0.98039215686274506</v>
      </c>
      <c r="AC10" s="1958">
        <f t="shared" si="5"/>
        <v>0.98039215686274506</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8"/>
      <c r="Q11" s="1342" t="str">
        <f t="shared" si="6"/>
        <v>容积率</v>
      </c>
      <c r="R11" s="700" t="s">
        <v>14</v>
      </c>
      <c r="S11" s="701">
        <f t="shared" si="0"/>
        <v>100</v>
      </c>
      <c r="T11" s="700" t="s">
        <v>14</v>
      </c>
      <c r="U11" s="701">
        <f t="shared" si="1"/>
        <v>100</v>
      </c>
      <c r="V11" s="700" t="s">
        <v>14</v>
      </c>
      <c r="W11" s="701">
        <f t="shared" si="2"/>
        <v>100</v>
      </c>
      <c r="X11" s="702"/>
      <c r="Y11" s="365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08"/>
      <c r="Q12" s="1342">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08"/>
      <c r="Q13" s="1342">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08"/>
      <c r="Q14" s="1342">
        <f t="shared" si="6"/>
        <v>111</v>
      </c>
      <c r="R14" s="700" t="s">
        <v>14</v>
      </c>
      <c r="S14" s="701">
        <f t="shared" si="0"/>
        <v>100</v>
      </c>
      <c r="T14" s="700" t="s">
        <v>14</v>
      </c>
      <c r="U14" s="701">
        <f t="shared" si="1"/>
        <v>100</v>
      </c>
      <c r="V14" s="700" t="s">
        <v>14</v>
      </c>
      <c r="W14" s="701">
        <f t="shared" si="2"/>
        <v>100</v>
      </c>
      <c r="X14" s="702"/>
      <c r="Y14" s="3659"/>
      <c r="Z14" s="52">
        <f t="shared" si="7"/>
        <v>111</v>
      </c>
      <c r="AA14" s="703">
        <f t="shared" si="3"/>
        <v>1</v>
      </c>
      <c r="AB14" s="703">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97</v>
      </c>
      <c r="I15" s="393"/>
      <c r="J15" s="392">
        <f>SUMIF(77:77,I16,78:78)-SUMIF(77:77,C16,78:78)+100</f>
        <v>97</v>
      </c>
      <c r="K15" s="563">
        <v>3</v>
      </c>
      <c r="L15" s="2720"/>
      <c r="M15" s="2714"/>
      <c r="N15" s="2714"/>
      <c r="O15" s="2714"/>
      <c r="P15" s="3728" t="s">
        <v>1688</v>
      </c>
      <c r="Q15" s="1351" t="str">
        <f t="shared" si="6"/>
        <v>办公集聚程度</v>
      </c>
      <c r="R15" s="704" t="s">
        <v>14</v>
      </c>
      <c r="S15" s="705">
        <f t="shared" si="0"/>
        <v>100</v>
      </c>
      <c r="T15" s="704" t="s">
        <v>14</v>
      </c>
      <c r="U15" s="705">
        <f t="shared" si="1"/>
        <v>97</v>
      </c>
      <c r="V15" s="704" t="s">
        <v>14</v>
      </c>
      <c r="W15" s="705">
        <f t="shared" si="2"/>
        <v>97</v>
      </c>
      <c r="X15" s="1354"/>
      <c r="Y15" s="3730" t="s">
        <v>1688</v>
      </c>
      <c r="Z15" s="1355" t="str">
        <f t="shared" si="7"/>
        <v>办公集聚程度</v>
      </c>
      <c r="AA15" s="1352">
        <f t="shared" si="3"/>
        <v>1</v>
      </c>
      <c r="AB15" s="1352">
        <f t="shared" si="4"/>
        <v>1.0309278350515463</v>
      </c>
      <c r="AC15" s="1961">
        <f t="shared" si="5"/>
        <v>1.0309278350515463</v>
      </c>
    </row>
    <row r="16" spans="1:29" ht="15">
      <c r="A16" s="379"/>
      <c r="B16" s="578"/>
      <c r="C16" s="1903" t="s">
        <v>3486</v>
      </c>
      <c r="D16" s="399"/>
      <c r="E16" s="398" t="s">
        <v>3486</v>
      </c>
      <c r="F16" s="399"/>
      <c r="G16" s="1903" t="s">
        <v>3469</v>
      </c>
      <c r="H16" s="401"/>
      <c r="I16" s="398" t="s">
        <v>3469</v>
      </c>
      <c r="J16" s="399"/>
      <c r="K16" s="564"/>
      <c r="L16" s="2720"/>
      <c r="M16" s="2714"/>
      <c r="N16" s="2714"/>
      <c r="O16" s="2714"/>
      <c r="P16" s="3729"/>
      <c r="Q16" s="1351"/>
      <c r="R16" s="704"/>
      <c r="S16" s="705"/>
      <c r="T16" s="704"/>
      <c r="U16" s="705"/>
      <c r="V16" s="704"/>
      <c r="W16" s="705"/>
      <c r="X16" s="1354"/>
      <c r="Y16" s="3731"/>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29"/>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961">
        <f t="shared" si="5"/>
        <v>1</v>
      </c>
    </row>
    <row r="18" spans="1:29" ht="15">
      <c r="A18" s="379"/>
      <c r="B18" s="580"/>
      <c r="C18" s="1963" t="s">
        <v>3486</v>
      </c>
      <c r="D18" s="401"/>
      <c r="E18" s="1901" t="s">
        <v>3486</v>
      </c>
      <c r="F18" s="401"/>
      <c r="G18" s="1902" t="s">
        <v>3486</v>
      </c>
      <c r="H18" s="399"/>
      <c r="I18" s="1902" t="s">
        <v>3486</v>
      </c>
      <c r="J18" s="399"/>
      <c r="K18" s="564"/>
      <c r="L18" s="2720"/>
      <c r="M18" s="2714"/>
      <c r="N18" s="2714"/>
      <c r="O18" s="2714"/>
      <c r="P18" s="3729"/>
      <c r="Q18" s="1351"/>
      <c r="R18" s="704"/>
      <c r="S18" s="705"/>
      <c r="T18" s="704"/>
      <c r="U18" s="705"/>
      <c r="V18" s="704"/>
      <c r="W18" s="705"/>
      <c r="X18" s="1354"/>
      <c r="Y18" s="3731"/>
      <c r="Z18" s="1355"/>
      <c r="AA18" s="1352">
        <v>1</v>
      </c>
      <c r="AB18" s="135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29"/>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961">
        <f t="shared" si="5"/>
        <v>1</v>
      </c>
    </row>
    <row r="20" spans="1:29" ht="15">
      <c r="A20" s="379"/>
      <c r="B20" s="580"/>
      <c r="C20" s="1903" t="s">
        <v>3486</v>
      </c>
      <c r="D20" s="399"/>
      <c r="E20" s="1903" t="s">
        <v>3486</v>
      </c>
      <c r="F20" s="399"/>
      <c r="G20" s="1903" t="s">
        <v>3486</v>
      </c>
      <c r="H20" s="399"/>
      <c r="I20" s="1903" t="s">
        <v>3486</v>
      </c>
      <c r="J20" s="399"/>
      <c r="K20" s="564"/>
      <c r="L20" s="2720"/>
      <c r="M20" s="2714"/>
      <c r="N20" s="2714"/>
      <c r="O20" s="2714"/>
      <c r="P20" s="3729"/>
      <c r="Q20" s="1351"/>
      <c r="R20" s="704"/>
      <c r="S20" s="705"/>
      <c r="T20" s="704"/>
      <c r="U20" s="705"/>
      <c r="V20" s="704"/>
      <c r="W20" s="705"/>
      <c r="X20" s="1354"/>
      <c r="Y20" s="3731"/>
      <c r="Z20" s="1355"/>
      <c r="AA20" s="1352">
        <v>1</v>
      </c>
      <c r="AB20" s="135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29"/>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961">
        <f t="shared" ref="AC21" si="10">D21/J21</f>
        <v>1</v>
      </c>
    </row>
    <row r="22" spans="1:29" ht="15">
      <c r="A22" s="379"/>
      <c r="B22" s="581"/>
      <c r="C22" s="1963" t="s">
        <v>3487</v>
      </c>
      <c r="D22" s="399"/>
      <c r="E22" s="1963" t="s">
        <v>3487</v>
      </c>
      <c r="F22" s="399"/>
      <c r="G22" s="1963" t="s">
        <v>3487</v>
      </c>
      <c r="H22" s="399"/>
      <c r="I22" s="1963" t="s">
        <v>3487</v>
      </c>
      <c r="J22" s="399"/>
      <c r="K22" s="1129"/>
      <c r="L22" s="2720"/>
      <c r="M22" s="2714"/>
      <c r="N22" s="2714"/>
      <c r="O22" s="2714"/>
      <c r="P22" s="3729"/>
      <c r="Q22" s="1351"/>
      <c r="R22" s="704"/>
      <c r="S22" s="705"/>
      <c r="T22" s="704"/>
      <c r="U22" s="705"/>
      <c r="V22" s="704"/>
      <c r="W22" s="705"/>
      <c r="X22" s="1354"/>
      <c r="Y22" s="3731"/>
      <c r="Z22" s="1355"/>
      <c r="AA22" s="1352">
        <v>1</v>
      </c>
      <c r="AB22" s="135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29"/>
      <c r="Q23" s="1351" t="str">
        <f>B23</f>
        <v>环境质量</v>
      </c>
      <c r="R23" s="704" t="s">
        <v>14</v>
      </c>
      <c r="S23" s="705">
        <f>F23</f>
        <v>100</v>
      </c>
      <c r="T23" s="704" t="s">
        <v>14</v>
      </c>
      <c r="U23" s="705">
        <f>H23</f>
        <v>100</v>
      </c>
      <c r="V23" s="704" t="s">
        <v>14</v>
      </c>
      <c r="W23" s="705">
        <f>J23</f>
        <v>100</v>
      </c>
      <c r="X23" s="1354"/>
      <c r="Y23" s="3731"/>
      <c r="Z23" s="1355" t="str">
        <f>Q23</f>
        <v>环境质量</v>
      </c>
      <c r="AA23" s="1352">
        <f t="shared" si="3"/>
        <v>1</v>
      </c>
      <c r="AB23" s="1352">
        <f t="shared" si="4"/>
        <v>1</v>
      </c>
      <c r="AC23" s="1961">
        <f t="shared" si="5"/>
        <v>1</v>
      </c>
    </row>
    <row r="24" spans="1:29" ht="15">
      <c r="A24" s="379"/>
      <c r="B24" s="581"/>
      <c r="C24" s="1903" t="s">
        <v>3469</v>
      </c>
      <c r="D24" s="399"/>
      <c r="E24" s="1903" t="s">
        <v>3469</v>
      </c>
      <c r="F24" s="399"/>
      <c r="G24" s="1903" t="s">
        <v>3469</v>
      </c>
      <c r="H24" s="399"/>
      <c r="I24" s="1903" t="s">
        <v>3469</v>
      </c>
      <c r="J24" s="399"/>
      <c r="K24" s="564"/>
      <c r="L24" s="2720"/>
      <c r="M24" s="2714"/>
      <c r="N24" s="2714"/>
      <c r="O24" s="2714"/>
      <c r="P24" s="3729"/>
      <c r="Q24" s="1351"/>
      <c r="R24" s="704"/>
      <c r="S24" s="705"/>
      <c r="T24" s="704"/>
      <c r="U24" s="705"/>
      <c r="V24" s="704"/>
      <c r="W24" s="705"/>
      <c r="X24" s="1354"/>
      <c r="Y24" s="3731"/>
      <c r="Z24" s="1355"/>
      <c r="AA24" s="1352">
        <v>1</v>
      </c>
      <c r="AB24" s="1352">
        <v>1</v>
      </c>
      <c r="AC24" s="1961">
        <v>1</v>
      </c>
    </row>
    <row r="25" spans="1:29" ht="27">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29"/>
      <c r="Q25" s="1351" t="str">
        <f>B25</f>
        <v>毗邻道路的类型与等级</v>
      </c>
      <c r="R25" s="704" t="s">
        <v>14</v>
      </c>
      <c r="S25" s="705">
        <f>F25</f>
        <v>100</v>
      </c>
      <c r="T25" s="704" t="s">
        <v>14</v>
      </c>
      <c r="U25" s="705">
        <f>H25</f>
        <v>100</v>
      </c>
      <c r="V25" s="704" t="s">
        <v>14</v>
      </c>
      <c r="W25" s="705">
        <f>J25</f>
        <v>100</v>
      </c>
      <c r="X25" s="1354"/>
      <c r="Y25" s="373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29"/>
      <c r="Q26" s="1351"/>
      <c r="R26" s="704"/>
      <c r="S26" s="705"/>
      <c r="T26" s="704"/>
      <c r="U26" s="705"/>
      <c r="V26" s="704"/>
      <c r="W26" s="705"/>
      <c r="X26" s="1354"/>
      <c r="Y26" s="3731"/>
      <c r="Z26" s="1355"/>
      <c r="AA26" s="1352">
        <v>1</v>
      </c>
      <c r="AB26" s="1352">
        <v>1</v>
      </c>
      <c r="AC26" s="1961">
        <v>1</v>
      </c>
    </row>
    <row r="27" spans="1:29" ht="15">
      <c r="A27" s="379"/>
      <c r="B27" s="580" t="s">
        <v>1780</v>
      </c>
      <c r="C27" s="582" t="s">
        <v>3450</v>
      </c>
      <c r="D27" s="386">
        <v>100</v>
      </c>
      <c r="E27" s="565" t="s">
        <v>3450</v>
      </c>
      <c r="F27" s="386">
        <f>SUMIF(89:89,E27,90:90)-SUMIF(89:89,C27,90:90)+100</f>
        <v>100</v>
      </c>
      <c r="G27" s="582" t="s">
        <v>3450</v>
      </c>
      <c r="H27" s="386">
        <f>SUMIF(89:89,G27,90:90)-SUMIF(89:89,C27,90:90)+100</f>
        <v>100</v>
      </c>
      <c r="I27" s="565" t="s">
        <v>3450</v>
      </c>
      <c r="J27" s="386">
        <f>SUMIF(89:89,I27,90:90)-SUMIF(89:89,C27,90:90)+100</f>
        <v>100</v>
      </c>
      <c r="K27" s="561">
        <v>2</v>
      </c>
      <c r="L27" s="2720"/>
      <c r="M27" s="2714"/>
      <c r="N27" s="2714"/>
      <c r="O27" s="2714"/>
      <c r="P27" s="3729"/>
      <c r="Q27" s="1351" t="str">
        <f t="shared" ref="Q27:Q47" si="11">B27</f>
        <v>楼层</v>
      </c>
      <c r="R27" s="704" t="s">
        <v>14</v>
      </c>
      <c r="S27" s="705">
        <f>F27</f>
        <v>100</v>
      </c>
      <c r="T27" s="704" t="s">
        <v>14</v>
      </c>
      <c r="U27" s="705">
        <f>H27</f>
        <v>100</v>
      </c>
      <c r="V27" s="704" t="s">
        <v>14</v>
      </c>
      <c r="W27" s="705">
        <f>J27</f>
        <v>100</v>
      </c>
      <c r="X27" s="1354"/>
      <c r="Y27" s="3731"/>
      <c r="Z27" s="1355" t="str">
        <f>Q27</f>
        <v>楼层</v>
      </c>
      <c r="AA27" s="1352">
        <f t="shared" si="3"/>
        <v>1</v>
      </c>
      <c r="AB27" s="1352">
        <f t="shared" si="4"/>
        <v>1</v>
      </c>
      <c r="AC27" s="1961">
        <f t="shared" si="5"/>
        <v>1</v>
      </c>
    </row>
    <row r="28" spans="1:29" s="108" customFormat="1" ht="15">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29"/>
      <c r="Q28" s="1342" t="str">
        <f t="shared" si="11"/>
        <v>朝向</v>
      </c>
      <c r="R28" s="700" t="s">
        <v>14</v>
      </c>
      <c r="S28" s="701">
        <f>F28</f>
        <v>100</v>
      </c>
      <c r="T28" s="700" t="s">
        <v>14</v>
      </c>
      <c r="U28" s="701">
        <f>H28</f>
        <v>100</v>
      </c>
      <c r="V28" s="700" t="s">
        <v>14</v>
      </c>
      <c r="W28" s="701">
        <f>J28</f>
        <v>100</v>
      </c>
      <c r="X28" s="702"/>
      <c r="Y28" s="373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29"/>
      <c r="Q29" s="1351">
        <f t="shared" si="11"/>
        <v>111</v>
      </c>
      <c r="R29" s="704" t="s">
        <v>14</v>
      </c>
      <c r="S29" s="705">
        <f t="shared" ref="S29:S47" si="12">F29</f>
        <v>100</v>
      </c>
      <c r="T29" s="704" t="s">
        <v>14</v>
      </c>
      <c r="U29" s="705">
        <f t="shared" ref="U29:U47" si="13">H29</f>
        <v>100</v>
      </c>
      <c r="V29" s="704" t="s">
        <v>14</v>
      </c>
      <c r="W29" s="705">
        <f t="shared" ref="W29:W47" si="14">J29</f>
        <v>100</v>
      </c>
      <c r="X29" s="1354"/>
      <c r="Y29" s="373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29"/>
      <c r="Q30" s="1351">
        <f t="shared" si="11"/>
        <v>111</v>
      </c>
      <c r="R30" s="704" t="s">
        <v>14</v>
      </c>
      <c r="S30" s="705">
        <f t="shared" si="12"/>
        <v>100</v>
      </c>
      <c r="T30" s="704" t="s">
        <v>14</v>
      </c>
      <c r="U30" s="705">
        <f t="shared" si="13"/>
        <v>100</v>
      </c>
      <c r="V30" s="704" t="s">
        <v>14</v>
      </c>
      <c r="W30" s="705">
        <f t="shared" si="14"/>
        <v>100</v>
      </c>
      <c r="X30" s="1354"/>
      <c r="Y30" s="373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29"/>
      <c r="Q31" s="1351">
        <f t="shared" si="11"/>
        <v>111</v>
      </c>
      <c r="R31" s="704" t="s">
        <v>14</v>
      </c>
      <c r="S31" s="705">
        <f t="shared" si="12"/>
        <v>100</v>
      </c>
      <c r="T31" s="704" t="s">
        <v>14</v>
      </c>
      <c r="U31" s="705">
        <f t="shared" si="13"/>
        <v>100</v>
      </c>
      <c r="V31" s="704" t="s">
        <v>14</v>
      </c>
      <c r="W31" s="705">
        <f t="shared" si="14"/>
        <v>100</v>
      </c>
      <c r="X31" s="1354"/>
      <c r="Y31" s="373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29"/>
      <c r="Q32" s="1351">
        <f t="shared" si="11"/>
        <v>111</v>
      </c>
      <c r="R32" s="704" t="s">
        <v>14</v>
      </c>
      <c r="S32" s="705">
        <f t="shared" si="12"/>
        <v>100</v>
      </c>
      <c r="T32" s="704" t="s">
        <v>14</v>
      </c>
      <c r="U32" s="705">
        <f t="shared" si="13"/>
        <v>100</v>
      </c>
      <c r="V32" s="704" t="s">
        <v>14</v>
      </c>
      <c r="W32" s="705">
        <f t="shared" si="14"/>
        <v>100</v>
      </c>
      <c r="X32" s="1354"/>
      <c r="Y32" s="3731"/>
      <c r="Z32" s="1355">
        <f t="shared" si="15"/>
        <v>111</v>
      </c>
      <c r="AA32" s="1352">
        <f t="shared" si="3"/>
        <v>1</v>
      </c>
      <c r="AB32" s="1352">
        <f t="shared" si="4"/>
        <v>1</v>
      </c>
      <c r="AC32" s="1961">
        <f t="shared" si="5"/>
        <v>1</v>
      </c>
    </row>
    <row r="33" spans="1:29" ht="15">
      <c r="A33" s="391" t="s">
        <v>1691</v>
      </c>
      <c r="B33" s="63" t="s">
        <v>1814</v>
      </c>
      <c r="C33" s="1966" t="s">
        <v>3452</v>
      </c>
      <c r="D33" s="418">
        <v>100</v>
      </c>
      <c r="E33" s="1966" t="s">
        <v>3452</v>
      </c>
      <c r="F33" s="412">
        <f>SUMIF(101:101,E33,102:102)-SUMIF(101:101,C33,102:102)+100</f>
        <v>100</v>
      </c>
      <c r="G33" s="1966" t="s">
        <v>3452</v>
      </c>
      <c r="H33" s="386">
        <f>SUMIF(101:101,G33,102:102)-SUMIF(101:101,C33,102:102)+100</f>
        <v>100</v>
      </c>
      <c r="I33" s="1966" t="s">
        <v>3452</v>
      </c>
      <c r="J33" s="418">
        <f>SUMIF(101:101,I33,102:102)-SUMIF(101:101,C33,102:102)+100</f>
        <v>100</v>
      </c>
      <c r="K33" s="561">
        <v>2</v>
      </c>
      <c r="L33" s="2720"/>
      <c r="M33" s="2714"/>
      <c r="N33" s="2714"/>
      <c r="O33" s="2714"/>
      <c r="P33" s="3732" t="s">
        <v>1693</v>
      </c>
      <c r="Q33" s="1351" t="str">
        <f t="shared" si="11"/>
        <v>建筑类型</v>
      </c>
      <c r="R33" s="704" t="s">
        <v>14</v>
      </c>
      <c r="S33" s="705">
        <f t="shared" si="12"/>
        <v>100</v>
      </c>
      <c r="T33" s="704" t="s">
        <v>14</v>
      </c>
      <c r="U33" s="705">
        <f t="shared" si="13"/>
        <v>100</v>
      </c>
      <c r="V33" s="704" t="s">
        <v>14</v>
      </c>
      <c r="W33" s="705">
        <f t="shared" si="14"/>
        <v>100</v>
      </c>
      <c r="X33" s="1354"/>
      <c r="Y33" s="3735" t="s">
        <v>1693</v>
      </c>
      <c r="Z33" s="1355" t="str">
        <f t="shared" si="15"/>
        <v>建筑类型</v>
      </c>
      <c r="AA33" s="1352">
        <f t="shared" si="3"/>
        <v>1</v>
      </c>
      <c r="AB33" s="1352">
        <f t="shared" si="4"/>
        <v>1</v>
      </c>
      <c r="AC33" s="1961">
        <f t="shared" si="5"/>
        <v>1</v>
      </c>
    </row>
    <row r="34" spans="1:29" s="422" customFormat="1" ht="15">
      <c r="A34" s="419"/>
      <c r="B34" s="375" t="s">
        <v>1694</v>
      </c>
      <c r="C34" s="420">
        <f>'数据-基础表'!I13</f>
        <v>571.24</v>
      </c>
      <c r="D34" s="127">
        <v>100</v>
      </c>
      <c r="E34" s="420">
        <v>900</v>
      </c>
      <c r="F34" s="376">
        <f>LOOKUP(E34,104:104,105:105)-LOOKUP(C34,104:104,105:105)+100</f>
        <v>99</v>
      </c>
      <c r="G34" s="420">
        <v>3000</v>
      </c>
      <c r="H34" s="127">
        <f>LOOKUP(G34,104:104,105:105)-LOOKUP(C34,104:104,105:105)+100</f>
        <v>98</v>
      </c>
      <c r="I34" s="420">
        <v>700</v>
      </c>
      <c r="J34" s="127">
        <f>LOOKUP(I34,104:104,105:105)-LOOKUP(C34,104:104,105:105)+100</f>
        <v>100</v>
      </c>
      <c r="K34" s="562"/>
      <c r="L34" s="2719"/>
      <c r="M34" s="2721"/>
      <c r="N34" s="2721"/>
      <c r="O34" s="2721"/>
      <c r="P34" s="3733"/>
      <c r="Q34" s="706" t="str">
        <f t="shared" si="11"/>
        <v>项目建筑规模</v>
      </c>
      <c r="R34" s="707" t="s">
        <v>14</v>
      </c>
      <c r="S34" s="708">
        <f t="shared" si="12"/>
        <v>99</v>
      </c>
      <c r="T34" s="707" t="s">
        <v>14</v>
      </c>
      <c r="U34" s="708">
        <f t="shared" si="13"/>
        <v>98</v>
      </c>
      <c r="V34" s="707" t="s">
        <v>14</v>
      </c>
      <c r="W34" s="708">
        <f t="shared" si="14"/>
        <v>100</v>
      </c>
      <c r="X34" s="709"/>
      <c r="Y34" s="3735"/>
      <c r="Z34" s="710" t="str">
        <f t="shared" si="15"/>
        <v>项目建筑规模</v>
      </c>
      <c r="AA34" s="1352">
        <f t="shared" si="3"/>
        <v>1.0101010101010102</v>
      </c>
      <c r="AB34" s="1352">
        <f t="shared" si="4"/>
        <v>1.0204081632653061</v>
      </c>
      <c r="AC34" s="1961">
        <f t="shared" si="5"/>
        <v>1</v>
      </c>
    </row>
    <row r="35" spans="1:29" ht="15">
      <c r="A35" s="423"/>
      <c r="B35" s="375" t="s">
        <v>1695</v>
      </c>
      <c r="C35" s="411" t="s">
        <v>3431</v>
      </c>
      <c r="D35" s="386">
        <v>100</v>
      </c>
      <c r="E35" s="411" t="s">
        <v>3431</v>
      </c>
      <c r="F35" s="412">
        <f>SUMIF(106:106,E35,107:107)-SUMIF(106:106,C35,107:107)+100</f>
        <v>100</v>
      </c>
      <c r="G35" s="411" t="s">
        <v>3431</v>
      </c>
      <c r="H35" s="386">
        <f>SUMIF(106:106,G35,107:107)-SUMIF(106:106,C35,107:107)+100</f>
        <v>100</v>
      </c>
      <c r="I35" s="411" t="s">
        <v>3431</v>
      </c>
      <c r="J35" s="386">
        <f>SUMIF(106:106,I35,107:107)-SUMIF(106:106,C35,107:107)+100</f>
        <v>100</v>
      </c>
      <c r="K35" s="561">
        <v>1</v>
      </c>
      <c r="L35" s="2720"/>
      <c r="M35" s="2714"/>
      <c r="N35" s="2714"/>
      <c r="O35" s="2714"/>
      <c r="P35" s="3733"/>
      <c r="Q35" s="1351" t="str">
        <f t="shared" si="11"/>
        <v>建筑结构</v>
      </c>
      <c r="R35" s="704" t="s">
        <v>14</v>
      </c>
      <c r="S35" s="705">
        <f t="shared" si="12"/>
        <v>100</v>
      </c>
      <c r="T35" s="704" t="s">
        <v>14</v>
      </c>
      <c r="U35" s="705">
        <f t="shared" si="13"/>
        <v>100</v>
      </c>
      <c r="V35" s="704" t="s">
        <v>14</v>
      </c>
      <c r="W35" s="705">
        <f t="shared" si="14"/>
        <v>100</v>
      </c>
      <c r="X35" s="1354"/>
      <c r="Y35" s="3735"/>
      <c r="Z35" s="1355" t="str">
        <f t="shared" si="15"/>
        <v>建筑结构</v>
      </c>
      <c r="AA35" s="1352">
        <f t="shared" si="3"/>
        <v>1</v>
      </c>
      <c r="AB35" s="1352">
        <f t="shared" si="4"/>
        <v>1</v>
      </c>
      <c r="AC35" s="1961">
        <f t="shared" si="5"/>
        <v>1</v>
      </c>
    </row>
    <row r="36" spans="1:29" ht="15">
      <c r="A36" s="423"/>
      <c r="B36" s="375" t="s">
        <v>1782</v>
      </c>
      <c r="C36" s="411" t="s">
        <v>3455</v>
      </c>
      <c r="D36" s="386">
        <v>100</v>
      </c>
      <c r="E36" s="411" t="s">
        <v>3455</v>
      </c>
      <c r="F36" s="412">
        <f>SUMIF(108:108,E36,109:109)-SUMIF(108:108,C36,109:109)+100</f>
        <v>100</v>
      </c>
      <c r="G36" s="411" t="s">
        <v>3455</v>
      </c>
      <c r="H36" s="386">
        <f>SUMIF(108:108,G36,109:109)-SUMIF(108:108,C36,109:109)+100</f>
        <v>100</v>
      </c>
      <c r="I36" s="411" t="s">
        <v>3455</v>
      </c>
      <c r="J36" s="386">
        <f>SUMIF(108:108,I36,109:109)-SUMIF(108:108,C36,109:109)+100</f>
        <v>100</v>
      </c>
      <c r="K36" s="561">
        <v>1</v>
      </c>
      <c r="L36" s="2720"/>
      <c r="M36" s="2714"/>
      <c r="N36" s="2714"/>
      <c r="O36" s="2714"/>
      <c r="P36" s="3733"/>
      <c r="Q36" s="1351" t="str">
        <f t="shared" si="11"/>
        <v>公共部分装修</v>
      </c>
      <c r="R36" s="704" t="s">
        <v>14</v>
      </c>
      <c r="S36" s="705">
        <f t="shared" si="12"/>
        <v>100</v>
      </c>
      <c r="T36" s="704" t="s">
        <v>14</v>
      </c>
      <c r="U36" s="705">
        <f t="shared" si="13"/>
        <v>100</v>
      </c>
      <c r="V36" s="704" t="s">
        <v>14</v>
      </c>
      <c r="W36" s="705">
        <f t="shared" si="14"/>
        <v>100</v>
      </c>
      <c r="X36" s="1354"/>
      <c r="Y36" s="3735"/>
      <c r="Z36" s="1355" t="str">
        <f t="shared" si="15"/>
        <v>公共部分装修</v>
      </c>
      <c r="AA36" s="1352">
        <f t="shared" si="3"/>
        <v>1</v>
      </c>
      <c r="AB36" s="1352">
        <f t="shared" si="4"/>
        <v>1</v>
      </c>
      <c r="AC36" s="1961">
        <f t="shared" si="5"/>
        <v>1</v>
      </c>
    </row>
    <row r="37" spans="1:29" ht="15">
      <c r="A37" s="423"/>
      <c r="B37" s="375" t="s">
        <v>1783</v>
      </c>
      <c r="C37" s="425">
        <f>'数据-取费表'!N6</f>
        <v>0.67</v>
      </c>
      <c r="D37" s="386">
        <v>100</v>
      </c>
      <c r="E37" s="425">
        <v>0.7</v>
      </c>
      <c r="F37" s="412">
        <f>LOOKUP(E37,111:111,112:112)-LOOKUP(C37,111:111,112:112)+100</f>
        <v>102</v>
      </c>
      <c r="G37" s="425">
        <v>0.69</v>
      </c>
      <c r="H37" s="412">
        <f>LOOKUP(G37,111:111,112:112)-LOOKUP(C37,111:111,112:112)+100</f>
        <v>100</v>
      </c>
      <c r="I37" s="425">
        <v>0.73</v>
      </c>
      <c r="J37" s="386">
        <f>LOOKUP(I37,111:111,112:112)-LOOKUP(C37,111:111,112:112)+100</f>
        <v>102</v>
      </c>
      <c r="K37" s="561">
        <v>2</v>
      </c>
      <c r="L37" s="2720"/>
      <c r="M37" s="2714"/>
      <c r="N37" s="2714"/>
      <c r="O37" s="2714"/>
      <c r="P37" s="3733"/>
      <c r="Q37" s="1351" t="str">
        <f t="shared" si="11"/>
        <v>成新度</v>
      </c>
      <c r="R37" s="704" t="s">
        <v>14</v>
      </c>
      <c r="S37" s="705">
        <f t="shared" si="12"/>
        <v>102</v>
      </c>
      <c r="T37" s="704" t="s">
        <v>14</v>
      </c>
      <c r="U37" s="705">
        <f t="shared" si="13"/>
        <v>100</v>
      </c>
      <c r="V37" s="704" t="s">
        <v>14</v>
      </c>
      <c r="W37" s="705">
        <f t="shared" si="14"/>
        <v>102</v>
      </c>
      <c r="X37" s="1354"/>
      <c r="Y37" s="3735"/>
      <c r="Z37" s="1355" t="str">
        <f t="shared" si="15"/>
        <v>成新度</v>
      </c>
      <c r="AA37" s="1352">
        <f t="shared" si="3"/>
        <v>0.98039215686274506</v>
      </c>
      <c r="AB37" s="1352">
        <f t="shared" si="4"/>
        <v>1</v>
      </c>
      <c r="AC37" s="1961">
        <f t="shared" si="5"/>
        <v>0.98039215686274506</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3"/>
      <c r="Q38" s="1342" t="str">
        <f t="shared" si="11"/>
        <v>写字楼等级</v>
      </c>
      <c r="R38" s="700" t="s">
        <v>14</v>
      </c>
      <c r="S38" s="701">
        <f t="shared" si="12"/>
        <v>100</v>
      </c>
      <c r="T38" s="700" t="s">
        <v>14</v>
      </c>
      <c r="U38" s="701">
        <f t="shared" si="13"/>
        <v>100</v>
      </c>
      <c r="V38" s="700" t="s">
        <v>14</v>
      </c>
      <c r="W38" s="701">
        <f t="shared" si="14"/>
        <v>100</v>
      </c>
      <c r="X38" s="702"/>
      <c r="Y38" s="3735"/>
      <c r="Z38" s="52" t="str">
        <f t="shared" si="15"/>
        <v>写字楼等级</v>
      </c>
      <c r="AA38" s="703">
        <f t="shared" si="3"/>
        <v>1</v>
      </c>
      <c r="AB38" s="703">
        <f t="shared" si="4"/>
        <v>1</v>
      </c>
      <c r="AC38" s="1958">
        <f t="shared" si="5"/>
        <v>1</v>
      </c>
    </row>
    <row r="39" spans="1:29" ht="15">
      <c r="A39" s="423"/>
      <c r="B39" s="375" t="s">
        <v>1816</v>
      </c>
      <c r="C39" s="411" t="s">
        <v>3465</v>
      </c>
      <c r="D39" s="386">
        <v>100</v>
      </c>
      <c r="E39" s="411" t="s">
        <v>3465</v>
      </c>
      <c r="F39" s="412">
        <f>SUMIF(115:115,E39,116:116)-SUMIF(115:115,C39,116:116)+100</f>
        <v>100</v>
      </c>
      <c r="G39" s="411" t="s">
        <v>3465</v>
      </c>
      <c r="H39" s="386">
        <f>SUMIF(115:115,G39,116:116)-SUMIF(115:115,C39,116:116)+100</f>
        <v>100</v>
      </c>
      <c r="I39" s="411" t="s">
        <v>3465</v>
      </c>
      <c r="J39" s="386">
        <f>SUMIF(115:115,I39,116:116)-SUMIF(115:115,C39,116:116)+100</f>
        <v>100</v>
      </c>
      <c r="K39" s="561">
        <v>1</v>
      </c>
      <c r="L39" s="2720"/>
      <c r="M39" s="2714"/>
      <c r="N39" s="2714"/>
      <c r="O39" s="2714"/>
      <c r="P39" s="3733" t="s">
        <v>1693</v>
      </c>
      <c r="Q39" s="1351" t="str">
        <f t="shared" si="11"/>
        <v>物业管理</v>
      </c>
      <c r="R39" s="704" t="s">
        <v>14</v>
      </c>
      <c r="S39" s="705">
        <f t="shared" si="12"/>
        <v>100</v>
      </c>
      <c r="T39" s="704" t="s">
        <v>14</v>
      </c>
      <c r="U39" s="705">
        <f t="shared" si="13"/>
        <v>100</v>
      </c>
      <c r="V39" s="704" t="s">
        <v>14</v>
      </c>
      <c r="W39" s="705">
        <f t="shared" si="14"/>
        <v>100</v>
      </c>
      <c r="X39" s="1354"/>
      <c r="Y39" s="3735" t="s">
        <v>1693</v>
      </c>
      <c r="Z39" s="1355" t="str">
        <f t="shared" si="15"/>
        <v>物业管理</v>
      </c>
      <c r="AA39" s="1352">
        <f t="shared" si="3"/>
        <v>1</v>
      </c>
      <c r="AB39" s="1352">
        <f t="shared" si="4"/>
        <v>1</v>
      </c>
      <c r="AC39" s="1961">
        <f t="shared" si="5"/>
        <v>1</v>
      </c>
    </row>
    <row r="40" spans="1:29" ht="15" hidden="1">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3"/>
      <c r="Q40" s="1351" t="str">
        <f t="shared" si="11"/>
        <v>市政基础设施</v>
      </c>
      <c r="R40" s="704" t="s">
        <v>14</v>
      </c>
      <c r="S40" s="705">
        <f t="shared" si="12"/>
        <v>100</v>
      </c>
      <c r="T40" s="704" t="s">
        <v>14</v>
      </c>
      <c r="U40" s="705">
        <f t="shared" si="13"/>
        <v>100</v>
      </c>
      <c r="V40" s="704" t="s">
        <v>14</v>
      </c>
      <c r="W40" s="705">
        <f t="shared" si="14"/>
        <v>100</v>
      </c>
      <c r="X40" s="1354"/>
      <c r="Y40" s="3735"/>
      <c r="Z40" s="1355" t="str">
        <f t="shared" si="15"/>
        <v>市政基础设施</v>
      </c>
      <c r="AA40" s="1352">
        <f t="shared" si="3"/>
        <v>1</v>
      </c>
      <c r="AB40" s="1352">
        <f t="shared" si="4"/>
        <v>1</v>
      </c>
      <c r="AC40" s="1961">
        <f t="shared" si="5"/>
        <v>1</v>
      </c>
    </row>
    <row r="41" spans="1:29" ht="15">
      <c r="A41" s="423"/>
      <c r="B41" s="375" t="s">
        <v>1786</v>
      </c>
      <c r="C41" s="565" t="s">
        <v>3460</v>
      </c>
      <c r="D41" s="386">
        <v>100</v>
      </c>
      <c r="E41" s="565" t="s">
        <v>3460</v>
      </c>
      <c r="F41" s="412">
        <f>SUMIF(119:119,E41,120:120)-SUMIF(119:119,C41,120:120)+100</f>
        <v>100</v>
      </c>
      <c r="G41" s="565" t="s">
        <v>3460</v>
      </c>
      <c r="H41" s="386">
        <f>SUMIF(119:119,G41,120:120)-SUMIF(119:119,C41,120:120)+100</f>
        <v>100</v>
      </c>
      <c r="I41" s="565" t="s">
        <v>3460</v>
      </c>
      <c r="J41" s="386">
        <f>SUMIF(119:119,I41,120:120)-SUMIF(119:119,C41,120:120)+100</f>
        <v>100</v>
      </c>
      <c r="K41" s="561">
        <v>2</v>
      </c>
      <c r="L41" s="2720"/>
      <c r="M41" s="2714"/>
      <c r="N41" s="2714"/>
      <c r="O41" s="2714"/>
      <c r="P41" s="3733"/>
      <c r="Q41" s="1351" t="str">
        <f t="shared" si="11"/>
        <v>层高</v>
      </c>
      <c r="R41" s="704" t="s">
        <v>14</v>
      </c>
      <c r="S41" s="705">
        <f t="shared" si="12"/>
        <v>100</v>
      </c>
      <c r="T41" s="704" t="s">
        <v>14</v>
      </c>
      <c r="U41" s="705">
        <f t="shared" si="13"/>
        <v>100</v>
      </c>
      <c r="V41" s="704" t="s">
        <v>14</v>
      </c>
      <c r="W41" s="705">
        <f t="shared" si="14"/>
        <v>100</v>
      </c>
      <c r="X41" s="1354"/>
      <c r="Y41" s="3735"/>
      <c r="Z41" s="1355" t="str">
        <f t="shared" si="15"/>
        <v>层高</v>
      </c>
      <c r="AA41" s="1352">
        <f t="shared" si="3"/>
        <v>1</v>
      </c>
      <c r="AB41" s="1352">
        <f t="shared" si="4"/>
        <v>1</v>
      </c>
      <c r="AC41" s="1961">
        <f t="shared" si="5"/>
        <v>1</v>
      </c>
    </row>
    <row r="42" spans="1:29" s="422" customFormat="1" ht="15" hidden="1">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3"/>
      <c r="Q42" s="706" t="str">
        <f t="shared" si="11"/>
        <v>单套建筑面积</v>
      </c>
      <c r="R42" s="707" t="s">
        <v>14</v>
      </c>
      <c r="S42" s="708">
        <f t="shared" si="12"/>
        <v>100</v>
      </c>
      <c r="T42" s="707" t="s">
        <v>14</v>
      </c>
      <c r="U42" s="708">
        <f t="shared" si="13"/>
        <v>100</v>
      </c>
      <c r="V42" s="707" t="s">
        <v>14</v>
      </c>
      <c r="W42" s="708">
        <f t="shared" si="14"/>
        <v>100</v>
      </c>
      <c r="X42" s="709"/>
      <c r="Y42" s="3735"/>
      <c r="Z42" s="710" t="str">
        <f t="shared" si="15"/>
        <v>单套建筑面积</v>
      </c>
      <c r="AA42" s="1352">
        <f t="shared" si="3"/>
        <v>1</v>
      </c>
      <c r="AB42" s="1352">
        <f t="shared" si="4"/>
        <v>1</v>
      </c>
      <c r="AC42" s="1961">
        <f t="shared" si="5"/>
        <v>1</v>
      </c>
    </row>
    <row r="43" spans="1:29" ht="15">
      <c r="A43" s="423"/>
      <c r="B43" s="375" t="s">
        <v>1789</v>
      </c>
      <c r="C43" s="411" t="s">
        <v>3505</v>
      </c>
      <c r="D43" s="386">
        <v>100</v>
      </c>
      <c r="E43" s="411" t="s">
        <v>3455</v>
      </c>
      <c r="F43" s="412">
        <f>SUMIF(123:123,E43,124:124)-SUMIF(123:123,C43,124:124)+100</f>
        <v>101</v>
      </c>
      <c r="G43" s="411" t="s">
        <v>3505</v>
      </c>
      <c r="H43" s="386">
        <f>SUMIF(123:123,G43,124:124)-SUMIF(123:123,C43,124:124)+100</f>
        <v>100</v>
      </c>
      <c r="I43" s="411" t="s">
        <v>3505</v>
      </c>
      <c r="J43" s="386">
        <f>SUMIF(123:123,I43,124:124)-SUMIF(123:123,C43,124:124)+100</f>
        <v>100</v>
      </c>
      <c r="K43" s="561">
        <v>1</v>
      </c>
      <c r="L43" s="2720"/>
      <c r="M43" s="2714"/>
      <c r="N43" s="2714"/>
      <c r="O43" s="2714"/>
      <c r="P43" s="3733"/>
      <c r="Q43" s="1351" t="str">
        <f t="shared" si="11"/>
        <v>内部装修</v>
      </c>
      <c r="R43" s="704" t="s">
        <v>14</v>
      </c>
      <c r="S43" s="705">
        <f t="shared" si="12"/>
        <v>101</v>
      </c>
      <c r="T43" s="704" t="s">
        <v>14</v>
      </c>
      <c r="U43" s="705">
        <f t="shared" si="13"/>
        <v>100</v>
      </c>
      <c r="V43" s="704" t="s">
        <v>14</v>
      </c>
      <c r="W43" s="705">
        <f t="shared" si="14"/>
        <v>100</v>
      </c>
      <c r="X43" s="1354"/>
      <c r="Y43" s="3735"/>
      <c r="Z43" s="1355" t="str">
        <f t="shared" si="15"/>
        <v>内部装修</v>
      </c>
      <c r="AA43" s="1352">
        <f t="shared" si="3"/>
        <v>0.99009900990099009</v>
      </c>
      <c r="AB43" s="1352">
        <f t="shared" si="4"/>
        <v>1</v>
      </c>
      <c r="AC43" s="1961">
        <f t="shared" si="5"/>
        <v>1</v>
      </c>
    </row>
    <row r="44" spans="1:29" ht="15">
      <c r="A44" s="423"/>
      <c r="B44" s="375" t="s">
        <v>1704</v>
      </c>
      <c r="C44" s="411" t="s">
        <v>3469</v>
      </c>
      <c r="D44" s="386">
        <v>100</v>
      </c>
      <c r="E44" s="411" t="s">
        <v>3469</v>
      </c>
      <c r="F44" s="412">
        <f>SUMIF(125:125,E44,126:126)-SUMIF(125:125,C44,126:126)+100</f>
        <v>100</v>
      </c>
      <c r="G44" s="411" t="s">
        <v>3469</v>
      </c>
      <c r="H44" s="386">
        <f>SUMIF(125:125,G44,126:126)-SUMIF(125:125,C44,126:126)+100</f>
        <v>100</v>
      </c>
      <c r="I44" s="411" t="s">
        <v>3469</v>
      </c>
      <c r="J44" s="386">
        <f>SUMIF(125:125,I44,126:126)-SUMIF(125:125,C44,126:126)+100</f>
        <v>100</v>
      </c>
      <c r="K44" s="561">
        <v>1</v>
      </c>
      <c r="L44" s="2720"/>
      <c r="M44" s="2714"/>
      <c r="N44" s="2714"/>
      <c r="O44" s="2714"/>
      <c r="P44" s="3733"/>
      <c r="Q44" s="1351" t="str">
        <f t="shared" si="11"/>
        <v>内部装修维护情况</v>
      </c>
      <c r="R44" s="704" t="s">
        <v>14</v>
      </c>
      <c r="S44" s="705">
        <f t="shared" si="12"/>
        <v>100</v>
      </c>
      <c r="T44" s="704" t="s">
        <v>14</v>
      </c>
      <c r="U44" s="705">
        <f t="shared" si="13"/>
        <v>100</v>
      </c>
      <c r="V44" s="704" t="s">
        <v>14</v>
      </c>
      <c r="W44" s="705">
        <f t="shared" si="14"/>
        <v>100</v>
      </c>
      <c r="X44" s="1354"/>
      <c r="Y44" s="3735"/>
      <c r="Z44" s="1355" t="str">
        <f t="shared" si="15"/>
        <v>内部装修维护情况</v>
      </c>
      <c r="AA44" s="1352">
        <f t="shared" si="3"/>
        <v>1</v>
      </c>
      <c r="AB44" s="1352">
        <f t="shared" si="4"/>
        <v>1</v>
      </c>
      <c r="AC44" s="1961">
        <f t="shared" si="5"/>
        <v>1</v>
      </c>
    </row>
    <row r="45" spans="1:29" s="108" customFormat="1" ht="15">
      <c r="A45" s="424"/>
      <c r="B45" s="3495" t="s">
        <v>3485</v>
      </c>
      <c r="C45" s="420">
        <f>'数据-取费表'!N18</f>
        <v>1997</v>
      </c>
      <c r="D45" s="127">
        <v>100</v>
      </c>
      <c r="E45" s="383" t="s">
        <v>3490</v>
      </c>
      <c r="F45" s="376">
        <f>SUMIF(127:127,E45,128:128)-SUMIF(127:127,C45,128:128)+100</f>
        <v>100</v>
      </c>
      <c r="G45" s="383">
        <v>2000</v>
      </c>
      <c r="H45" s="127">
        <f>SUMIF(127:127,G45,128:128)-SUMIF(127:127,C45,128:128)+100</f>
        <v>100</v>
      </c>
      <c r="I45" s="383" t="s">
        <v>3504</v>
      </c>
      <c r="J45" s="127">
        <f>SUMIF(127:127,I45,128:128)-SUMIF(127:127,C45,128:128)+100</f>
        <v>100</v>
      </c>
      <c r="K45" s="562"/>
      <c r="L45" s="2715"/>
      <c r="M45" s="2716"/>
      <c r="N45" s="2716"/>
      <c r="O45" s="2716"/>
      <c r="P45" s="3733"/>
      <c r="Q45" s="1342" t="str">
        <f t="shared" si="11"/>
        <v>建成年代</v>
      </c>
      <c r="R45" s="700" t="s">
        <v>14</v>
      </c>
      <c r="S45" s="701">
        <f t="shared" si="12"/>
        <v>100</v>
      </c>
      <c r="T45" s="700" t="s">
        <v>14</v>
      </c>
      <c r="U45" s="701">
        <f t="shared" si="13"/>
        <v>100</v>
      </c>
      <c r="V45" s="700" t="s">
        <v>14</v>
      </c>
      <c r="W45" s="701">
        <f t="shared" si="14"/>
        <v>100</v>
      </c>
      <c r="X45" s="702"/>
      <c r="Y45" s="3735"/>
      <c r="Z45" s="52" t="str">
        <f t="shared" si="15"/>
        <v>建成年代</v>
      </c>
      <c r="AA45" s="703">
        <f t="shared" si="3"/>
        <v>1</v>
      </c>
      <c r="AB45" s="703">
        <f t="shared" si="4"/>
        <v>1</v>
      </c>
      <c r="AC45" s="1958">
        <f t="shared" si="5"/>
        <v>1</v>
      </c>
    </row>
    <row r="46" spans="1:29" ht="15">
      <c r="A46" s="423"/>
      <c r="B46" s="1132">
        <v>111</v>
      </c>
      <c r="C46" s="385"/>
      <c r="D46" s="386">
        <v>100</v>
      </c>
      <c r="E46" s="383" t="s">
        <v>3497</v>
      </c>
      <c r="F46" s="412">
        <f>SUMIF(129:129,E46,130:130)-SUMIF(129:129,C46,130:130)+100</f>
        <v>100</v>
      </c>
      <c r="G46" s="383" t="s">
        <v>3508</v>
      </c>
      <c r="H46" s="386">
        <f>SUMIF(129:129,G46,130:130)-SUMIF(129:129,C46,130:130)+100</f>
        <v>100</v>
      </c>
      <c r="I46" s="383" t="s">
        <v>3509</v>
      </c>
      <c r="J46" s="386">
        <f>SUMIF(129:129,I46,130:130)-SUMIF(129:129,C46,130:130)+100</f>
        <v>100</v>
      </c>
      <c r="K46" s="562"/>
      <c r="L46" s="2720"/>
      <c r="M46" s="2714"/>
      <c r="N46" s="2714"/>
      <c r="O46" s="2714"/>
      <c r="P46" s="3733"/>
      <c r="Q46" s="1351">
        <f t="shared" si="11"/>
        <v>111</v>
      </c>
      <c r="R46" s="704" t="s">
        <v>14</v>
      </c>
      <c r="S46" s="705">
        <f t="shared" si="12"/>
        <v>100</v>
      </c>
      <c r="T46" s="704" t="s">
        <v>14</v>
      </c>
      <c r="U46" s="705">
        <f t="shared" si="13"/>
        <v>100</v>
      </c>
      <c r="V46" s="704" t="s">
        <v>14</v>
      </c>
      <c r="W46" s="705">
        <f t="shared" si="14"/>
        <v>100</v>
      </c>
      <c r="X46" s="1354"/>
      <c r="Y46" s="373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4"/>
      <c r="Q47" s="1351">
        <f t="shared" si="11"/>
        <v>111</v>
      </c>
      <c r="R47" s="704" t="s">
        <v>14</v>
      </c>
      <c r="S47" s="705">
        <f t="shared" si="12"/>
        <v>100</v>
      </c>
      <c r="T47" s="704" t="s">
        <v>14</v>
      </c>
      <c r="U47" s="705">
        <f t="shared" si="13"/>
        <v>100</v>
      </c>
      <c r="V47" s="704" t="s">
        <v>14</v>
      </c>
      <c r="W47" s="705">
        <f t="shared" si="14"/>
        <v>100</v>
      </c>
      <c r="X47" s="1354"/>
      <c r="Y47" s="3736"/>
      <c r="Z47" s="1355">
        <f t="shared" si="15"/>
        <v>111</v>
      </c>
      <c r="AA47" s="1352">
        <f t="shared" si="3"/>
        <v>1</v>
      </c>
      <c r="AB47" s="1352">
        <f t="shared" si="4"/>
        <v>1</v>
      </c>
      <c r="AC47" s="1961">
        <f t="shared" si="5"/>
        <v>1</v>
      </c>
    </row>
    <row r="48" spans="1:29" ht="15">
      <c r="A48" s="430" t="s">
        <v>1705</v>
      </c>
      <c r="B48" s="431"/>
      <c r="C48" s="1153" t="s">
        <v>0</v>
      </c>
      <c r="D48" s="1154"/>
      <c r="E48" s="1155">
        <v>85000</v>
      </c>
      <c r="F48" s="1156"/>
      <c r="G48" s="1157">
        <v>70000</v>
      </c>
      <c r="H48" s="1158"/>
      <c r="I48" s="1155">
        <v>70000</v>
      </c>
      <c r="J48" s="436"/>
      <c r="K48" s="713"/>
      <c r="L48" s="2722"/>
      <c r="M48" s="2714"/>
      <c r="N48" s="2714"/>
      <c r="O48" s="2714"/>
      <c r="P48" s="3708" t="str">
        <f>A48</f>
        <v>成交单价（元/平方米）</v>
      </c>
      <c r="Q48" s="3737"/>
      <c r="R48" s="3738">
        <f>E48</f>
        <v>85000</v>
      </c>
      <c r="S48" s="3738"/>
      <c r="T48" s="3738">
        <f>G48</f>
        <v>70000</v>
      </c>
      <c r="U48" s="3738"/>
      <c r="V48" s="3738">
        <f>I48</f>
        <v>70000</v>
      </c>
      <c r="W48" s="3738"/>
      <c r="X48" s="397"/>
      <c r="Y48" s="711"/>
      <c r="Z48" s="397"/>
      <c r="AA48" s="397"/>
      <c r="AB48" s="397"/>
      <c r="AC48" s="578"/>
    </row>
    <row r="49" spans="1:29" ht="15.75" thickBot="1">
      <c r="A49" s="437" t="s">
        <v>1790</v>
      </c>
      <c r="B49" s="438"/>
      <c r="C49" s="1159">
        <f>R50</f>
        <v>72962</v>
      </c>
      <c r="D49" s="2316" t="s">
        <v>2134</v>
      </c>
      <c r="E49" s="1160">
        <f>R49</f>
        <v>80105</v>
      </c>
      <c r="F49" s="2317"/>
      <c r="G49" s="1159">
        <f>T49</f>
        <v>70778</v>
      </c>
      <c r="H49" s="2317"/>
      <c r="I49" s="1160">
        <f>V49</f>
        <v>68003</v>
      </c>
      <c r="J49" s="2317"/>
      <c r="K49" s="2319">
        <f>F49+H49+J49</f>
        <v>0</v>
      </c>
      <c r="L49" s="2722"/>
      <c r="M49" s="2714"/>
      <c r="N49" s="2714"/>
      <c r="O49" s="2714"/>
      <c r="P49" s="3708" t="str">
        <f>A49</f>
        <v>比较价值（元/平方米）</v>
      </c>
      <c r="Q49" s="3737"/>
      <c r="R49" s="3738">
        <f>IF(F1="售价",ROUND(PRODUCT(R48,AA7:AA47),0),ROUND(PRODUCT(R48,AA7:AA47),1))</f>
        <v>80105</v>
      </c>
      <c r="S49" s="3738"/>
      <c r="T49" s="3738">
        <f>IF(F1="售价",ROUND(PRODUCT(T48,AB7:AB47),0),ROUND(PRODUCT(T48,AB7:AB47),1))</f>
        <v>70778</v>
      </c>
      <c r="U49" s="3738"/>
      <c r="V49" s="3738">
        <f>IF(F1="售价",ROUND(PRODUCT(V48,AC7:AC47),0),ROUND(PRODUCT(V48,AC7:AC47),1))</f>
        <v>68003</v>
      </c>
      <c r="W49" s="3738"/>
      <c r="X49" s="397"/>
      <c r="Y49" s="397"/>
      <c r="Z49" s="397"/>
      <c r="AA49" s="397"/>
      <c r="AB49" s="397"/>
      <c r="AC49" s="578"/>
    </row>
    <row r="50" spans="1:29" ht="15.75" thickBot="1">
      <c r="A50" s="441" t="s">
        <v>1791</v>
      </c>
      <c r="B50" s="442"/>
      <c r="C50" s="1162">
        <f>R50</f>
        <v>72962</v>
      </c>
      <c r="D50" s="1162"/>
      <c r="E50" s="1162"/>
      <c r="F50" s="1162"/>
      <c r="G50" s="1162"/>
      <c r="H50" s="1162"/>
      <c r="I50" s="1162"/>
      <c r="J50" s="443"/>
      <c r="K50" s="714"/>
      <c r="L50" s="2722"/>
      <c r="M50" s="2714"/>
      <c r="N50" s="2714"/>
      <c r="O50" s="2714"/>
      <c r="P50" s="3739" t="str">
        <f>A50</f>
        <v>估价对象XX用房的比较价值（楼面单价，元/平方米）</v>
      </c>
      <c r="Q50" s="3740"/>
      <c r="R50" s="3741">
        <f>IF(F1="售价",ROUND(IF(D49="简单平均",AVERAGE(R49:V49),R49*F49+T49*H49+V49*J49),0),ROUND(IF(D49="简单平均",AVERAGE(R49:V49),R49*F49+T49*H49+V49*J49),1))</f>
        <v>72962</v>
      </c>
      <c r="S50" s="3741"/>
      <c r="T50" s="3741"/>
      <c r="U50" s="3741"/>
      <c r="V50" s="3741"/>
      <c r="W50" s="3741"/>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1792</v>
      </c>
      <c r="D53" s="447"/>
      <c r="E53" s="448">
        <f>IF(E48&lt;E49,E49/E48-1,E48/E49-1)</f>
        <v>6.110729667311654E-2</v>
      </c>
      <c r="F53" s="449" t="str">
        <f>IF(OR(E53&gt;=0.3,E53&lt;=-0.3),"超过30%","")</f>
        <v/>
      </c>
      <c r="G53" s="448">
        <f>IF(G48&lt;G49,G49/G48-1,G48/G49-1)</f>
        <v>1.1114285714285632E-2</v>
      </c>
      <c r="H53" s="449" t="str">
        <f>IF(OR(G53&gt;=0.3,G53&lt;=-0.3),"超过30%","")</f>
        <v/>
      </c>
      <c r="I53" s="448">
        <f>IF(I48&lt;I49,I49/I48-1,I48/I49-1)</f>
        <v>2.9366351484493292E-2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1793</v>
      </c>
      <c r="D54" s="450"/>
      <c r="E54" s="448">
        <f>IF(E49&lt;G49,G49/E49-1,E49/G49-1)</f>
        <v>0.13177823617508255</v>
      </c>
      <c r="F54" s="449" t="str">
        <f>IF(OR(E54&gt;=0.2,E54&lt;=-0.2),"超过20%","")</f>
        <v/>
      </c>
      <c r="G54" s="448">
        <f>IF(G49&lt;I49,I49/G49-1,G49/I49-1)</f>
        <v>4.0807023219563865E-2</v>
      </c>
      <c r="H54" s="449" t="str">
        <f>IF(OR(G54&gt;=0.2,G54&lt;=-0.2),"超过20%","")</f>
        <v/>
      </c>
      <c r="I54" s="448">
        <f>IF(I49&lt;E49,E49/I49-1,I49/E49-1)</f>
        <v>0.17796273693807629</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1794</v>
      </c>
      <c r="D55" s="450"/>
      <c r="E55" s="448">
        <f>IF(E48&lt;G48,G48/E48-1,E48/G48-1)</f>
        <v>0.21428571428571419</v>
      </c>
      <c r="F55" s="449" t="str">
        <f>IF(OR(E55&gt;=0.3,E55&lt;=-0.3),"超过30%","")</f>
        <v/>
      </c>
      <c r="G55" s="448">
        <f>IF(G48&lt;I48,I48/G48-1,G48/I48-1)</f>
        <v>0</v>
      </c>
      <c r="H55" s="449" t="str">
        <f>IF(OR(G55&gt;=0.3,G55&lt;=-0.3),"超过30%","")</f>
        <v/>
      </c>
      <c r="I55" s="448">
        <f>IF(I48&lt;E48,E48/I48-1,I48/E48-1)</f>
        <v>0.21428571428571419</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1795</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1678</v>
      </c>
      <c r="B62" s="459"/>
      <c r="C62" s="471" t="s">
        <v>1773</v>
      </c>
      <c r="D62" s="3478" t="s">
        <v>3441</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1716</v>
      </c>
      <c r="B64" s="477" t="s">
        <v>1682</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t="s">
        <v>3443</v>
      </c>
      <c r="D66" s="532" t="s">
        <v>3444</v>
      </c>
      <c r="E66" s="532" t="s">
        <v>3445</v>
      </c>
      <c r="F66" s="532" t="s">
        <v>3446</v>
      </c>
      <c r="G66" s="532" t="s">
        <v>3447</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97</v>
      </c>
      <c r="E78" s="493">
        <f>D78-$K15</f>
        <v>94</v>
      </c>
      <c r="F78" s="493">
        <f>E78-$K15</f>
        <v>91</v>
      </c>
      <c r="G78" s="493">
        <f>F78-$K15</f>
        <v>88</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80" t="s">
        <v>3448</v>
      </c>
      <c r="D89" s="3480" t="s">
        <v>3449</v>
      </c>
      <c r="E89" s="3480" t="s">
        <v>3451</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3481" t="s">
        <v>3453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1734</v>
      </c>
      <c r="C103" s="527" t="str">
        <f>C104&amp;"(含)"&amp;"-"&amp;D104</f>
        <v>0(含)-300</v>
      </c>
      <c r="D103" s="527" t="str">
        <f t="shared" ref="D103:L103" si="24">D104&amp;"(含)"&amp;"-"&amp;E104</f>
        <v>300(含)-500</v>
      </c>
      <c r="E103" s="527" t="str">
        <f t="shared" si="24"/>
        <v>500(含)-800</v>
      </c>
      <c r="F103" s="527" t="str">
        <f t="shared" si="24"/>
        <v>800(含)-1000</v>
      </c>
      <c r="G103" s="527" t="str">
        <f t="shared" si="24"/>
        <v>1000(含)-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v>97</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3480" t="s">
        <v>3454</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3480" t="s">
        <v>3456</v>
      </c>
      <c r="D108" s="3480" t="s">
        <v>3457</v>
      </c>
      <c r="E108" s="3480" t="s">
        <v>3458</v>
      </c>
      <c r="F108" s="3482" t="s">
        <v>3459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3480" t="s">
        <v>3468</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3480" t="s">
        <v>3466</v>
      </c>
      <c r="D115" s="3480" t="s">
        <v>3467</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3480" t="s">
        <v>3462</v>
      </c>
      <c r="D117" s="3480" t="s">
        <v>3463</v>
      </c>
      <c r="E117" s="3480" t="s">
        <v>3464</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3482" t="s">
        <v>3461</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3480" t="s">
        <v>3456</v>
      </c>
      <c r="D123" s="3480" t="s">
        <v>3457</v>
      </c>
      <c r="E123" s="3480" t="s">
        <v>3458</v>
      </c>
      <c r="F123" s="3482" t="s">
        <v>3459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建成年代</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25" zoomScale="80" zoomScaleNormal="70" zoomScaleSheetLayoutView="80" workbookViewId="0">
      <selection activeCell="F34" sqref="F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18.8</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1427.1355000000001</v>
      </c>
      <c r="C2" s="1386" t="s">
        <v>879</v>
      </c>
      <c r="D2" s="1470">
        <f ca="1">C40+J29+L46</f>
        <v>14271355</v>
      </c>
      <c r="E2" s="1387" t="s">
        <v>880</v>
      </c>
      <c r="F2" s="1388"/>
      <c r="G2" s="2704"/>
      <c r="H2" s="2693"/>
      <c r="I2" s="2693"/>
      <c r="J2" s="2693"/>
      <c r="K2" s="2694"/>
      <c r="L2" s="2693"/>
      <c r="M2" s="2693"/>
    </row>
    <row r="3" spans="1:37" ht="18" customHeight="1" thickBot="1">
      <c r="A3" s="1389" t="s">
        <v>881</v>
      </c>
      <c r="B3" s="1390">
        <f ca="1">IF(ISERROR(D2/F43),0,ROUND(D2/F43,0))</f>
        <v>24983</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1277631</v>
      </c>
      <c r="D5" s="1363" t="s">
        <v>889</v>
      </c>
      <c r="E5" s="1070"/>
      <c r="F5" s="1071"/>
      <c r="G5" s="1383"/>
      <c r="H5" s="299">
        <v>1</v>
      </c>
      <c r="I5" s="300" t="s">
        <v>888</v>
      </c>
      <c r="J5" s="1069">
        <f ca="1">J6+J10+J12</f>
        <v>0</v>
      </c>
      <c r="K5" s="1363" t="s">
        <v>889</v>
      </c>
      <c r="L5" s="1070"/>
      <c r="M5" s="1071"/>
    </row>
    <row r="6" spans="1:37" ht="18" customHeight="1">
      <c r="A6" s="1068" t="s">
        <v>398</v>
      </c>
      <c r="B6" s="3688" t="s">
        <v>694</v>
      </c>
      <c r="C6" s="1073">
        <f ca="1">ROUND(F6*F8*F7*(1-F9),0)</f>
        <v>1276036</v>
      </c>
      <c r="D6" s="155" t="s">
        <v>2102</v>
      </c>
      <c r="E6" s="302" t="s">
        <v>696</v>
      </c>
      <c r="F6" s="303">
        <f ca="1">INDIRECT("'数据-取费表'!u"&amp;$G$1)</f>
        <v>6.8</v>
      </c>
      <c r="G6" s="1383"/>
      <c r="H6" s="1068" t="s">
        <v>398</v>
      </c>
      <c r="I6" s="3688" t="s">
        <v>694</v>
      </c>
      <c r="J6" s="301">
        <f ca="1">ROUND(M6*M8*M7*(1-M9),0)</f>
        <v>0</v>
      </c>
      <c r="K6" s="1375" t="s">
        <v>2103</v>
      </c>
      <c r="L6" s="302" t="s">
        <v>696</v>
      </c>
      <c r="M6" s="303">
        <f ca="1">INDIRECT("'数据-取费表'!z"&amp;$G$1)</f>
        <v>0</v>
      </c>
    </row>
    <row r="7" spans="1:37" ht="18" customHeight="1">
      <c r="A7" s="1072"/>
      <c r="B7" s="3689"/>
      <c r="C7" s="1074"/>
      <c r="D7" s="307"/>
      <c r="E7" s="1075" t="s">
        <v>697</v>
      </c>
      <c r="F7" s="303">
        <f ca="1">IF(INDIRECT("'数据-取费表'!ah"&amp;$G$1)="",INDIRECT("'数据-取费表'!k"&amp;$G$1),INDIRECT("'数据-取费表'!ah"&amp;$G$1))</f>
        <v>571.24</v>
      </c>
      <c r="G7" s="1383"/>
      <c r="H7" s="304"/>
      <c r="I7" s="3689"/>
      <c r="J7" s="306"/>
      <c r="K7" s="307"/>
      <c r="L7" s="302" t="s">
        <v>697</v>
      </c>
      <c r="M7" s="303">
        <f ca="1">F7</f>
        <v>571.24</v>
      </c>
    </row>
    <row r="8" spans="1:37" ht="18" customHeight="1">
      <c r="A8" s="304"/>
      <c r="B8" s="3689"/>
      <c r="C8" s="306"/>
      <c r="D8" s="307"/>
      <c r="E8" s="302" t="s">
        <v>698</v>
      </c>
      <c r="F8" s="303">
        <f ca="1">INDIRECT("'数据-取费表'!ai"&amp;$G$1)</f>
        <v>365</v>
      </c>
      <c r="G8" s="1383"/>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3"/>
      <c r="H9" s="304"/>
      <c r="I9" s="3690"/>
      <c r="J9" s="306"/>
      <c r="K9" s="307"/>
      <c r="L9" s="313" t="s">
        <v>699</v>
      </c>
      <c r="M9" s="314">
        <f ca="1">INDIRECT("'数据-取费表'!ab"&amp;$G$1)</f>
        <v>0</v>
      </c>
    </row>
    <row r="10" spans="1:37" ht="18" customHeight="1">
      <c r="A10" s="1068" t="s">
        <v>402</v>
      </c>
      <c r="B10" s="1364" t="s">
        <v>700</v>
      </c>
      <c r="C10" s="316">
        <f ca="1">ROUND(IF(F10="押一",C6/12*F11,IF(F10="押二",C6/12*2*F11,IF(F10="押三",C6/12*3*F11,C11*F11))),0)</f>
        <v>1595</v>
      </c>
      <c r="D10" s="1365" t="s">
        <v>2112</v>
      </c>
      <c r="E10" s="313" t="s">
        <v>701</v>
      </c>
      <c r="F10" s="1115" t="s">
        <v>3430</v>
      </c>
      <c r="G10" s="1383"/>
      <c r="H10" s="1068" t="s">
        <v>402</v>
      </c>
      <c r="I10" s="1364" t="s">
        <v>700</v>
      </c>
      <c r="J10" s="301">
        <f ca="1">ROUND(IF(M10="押一",J6/12*M11,IF(M10="押二",J6/12*2*M11,IF(M10="押三",J6/12*3*M11,J11*M11))),0)</f>
        <v>0</v>
      </c>
      <c r="K10" s="1376" t="s">
        <v>2114</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3231685</v>
      </c>
      <c r="D13" s="1080" t="s">
        <v>705</v>
      </c>
      <c r="E13" s="1080" t="s">
        <v>706</v>
      </c>
      <c r="F13" s="1081">
        <f ca="1">INDIRECT("'数据-取费表'!y"&amp;$G$1)</f>
        <v>0.67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3313192</v>
      </c>
      <c r="D14" s="1344" t="s">
        <v>708</v>
      </c>
      <c r="E14" s="1341"/>
      <c r="F14" s="319"/>
      <c r="G14" s="1383"/>
      <c r="H14" s="981" t="s">
        <v>398</v>
      </c>
      <c r="I14" s="302" t="s">
        <v>709</v>
      </c>
      <c r="J14" s="21">
        <f ca="1">C29</f>
        <v>4823411</v>
      </c>
      <c r="K14" s="12"/>
      <c r="L14" s="806"/>
      <c r="M14" s="807"/>
    </row>
    <row r="15" spans="1:37" s="1396" customFormat="1" ht="18" customHeight="1" thickBot="1">
      <c r="A15" s="981" t="s">
        <v>399</v>
      </c>
      <c r="B15" s="302" t="s">
        <v>710</v>
      </c>
      <c r="C15" s="21">
        <f ca="1">ROUND(C14*F15,0)</f>
        <v>165660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21168</v>
      </c>
      <c r="K16" s="1086" t="s">
        <v>715</v>
      </c>
      <c r="L16" s="1087"/>
      <c r="M16" s="1071"/>
    </row>
    <row r="17" spans="1:37" s="1396" customFormat="1" ht="18" customHeight="1">
      <c r="A17" s="981" t="s">
        <v>681</v>
      </c>
      <c r="B17" s="302" t="s">
        <v>716</v>
      </c>
      <c r="C17" s="21">
        <f ca="1">ROUND(F17*(F43+INDIRECT("'数据-取费表'!S"&amp;$G$1)),0)</f>
        <v>114248</v>
      </c>
      <c r="D17" s="302" t="s">
        <v>717</v>
      </c>
      <c r="E17" s="302" t="s">
        <v>718</v>
      </c>
      <c r="F17" s="23">
        <f>'数据-取费表'!B35</f>
        <v>200</v>
      </c>
      <c r="G17" s="1395"/>
      <c r="H17" s="981" t="s">
        <v>398</v>
      </c>
      <c r="I17" s="302" t="s">
        <v>719</v>
      </c>
      <c r="J17" s="2315">
        <f ca="1">ROUND(IF(AND(项目基本情况!B11="自然人",项目基本情况!B10="北京市"),J6*M17/(1+'数据-取费表'!C42),J18+J19+J20),0)</f>
        <v>1874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66264</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3659364</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109781</v>
      </c>
      <c r="D20" s="323" t="s">
        <v>729</v>
      </c>
      <c r="E20" s="302" t="s">
        <v>712</v>
      </c>
      <c r="F20" s="322">
        <f>'数据-取费表'!B37</f>
        <v>0.03</v>
      </c>
      <c r="G20" s="1395"/>
      <c r="H20" s="981" t="s">
        <v>680</v>
      </c>
      <c r="I20" s="155" t="s">
        <v>730</v>
      </c>
      <c r="J20" s="22">
        <f ca="1">ROUND(M20*M21,0)</f>
        <v>1874</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62.48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19294</v>
      </c>
      <c r="K22" s="1343" t="s">
        <v>739</v>
      </c>
      <c r="L22" s="302" t="s">
        <v>712</v>
      </c>
      <c r="M22" s="328">
        <f ca="1">INDIRECT("'数据-取费表'!Ak"&amp;$G$1)</f>
        <v>4.0000000000000001E-3</v>
      </c>
    </row>
    <row r="23" spans="1:37" s="1396" customFormat="1" ht="18" customHeight="1">
      <c r="A23" s="981" t="s">
        <v>397</v>
      </c>
      <c r="B23" s="302" t="s">
        <v>740</v>
      </c>
      <c r="C23" s="21">
        <f ca="1">IF('数据-取费表'!B22&lt;=1,ROUND(C19*F24*F23/2,0)+ROUND(C20*F24*F23/2,0),ROUND(C19*(POWER((1+F24),F23/2)-1),0)+ROUND(C20*(POWER((1+F24),F23/2)-1),0))</f>
        <v>117974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-21168</v>
      </c>
      <c r="K25" s="1094" t="s">
        <v>753</v>
      </c>
      <c r="L25" s="1095"/>
      <c r="M25" s="1096"/>
    </row>
    <row r="26" spans="1:37" ht="18" customHeight="1">
      <c r="A26" s="981" t="s">
        <v>397</v>
      </c>
      <c r="B26" s="302" t="s">
        <v>754</v>
      </c>
      <c r="C26" s="21">
        <f ca="1">ROUND((C19+C20)*F26,0)</f>
        <v>565372</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4823411</v>
      </c>
      <c r="D29" s="1091"/>
      <c r="E29" s="1089"/>
      <c r="F29" s="1092"/>
      <c r="G29" s="1395"/>
      <c r="H29" s="334" t="s">
        <v>396</v>
      </c>
      <c r="I29" s="335" t="s">
        <v>768</v>
      </c>
      <c r="J29" s="336">
        <f ca="1">ROUND(J26/(1+F40)^F41,0)</f>
        <v>0</v>
      </c>
      <c r="K29" s="337" t="s">
        <v>769</v>
      </c>
      <c r="L29" s="338"/>
      <c r="M29" s="339">
        <f ca="1">INDIRECT("'数据-取费表'!k"&amp;$G$1)</f>
        <v>571.24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251064</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ROUND(IF(AND(项目基本情况!B11="自然人",项目基本情况!B10="北京市"),C6*F31/(1+'数据-取费表'!C42),C32+C33+C34),0)</f>
        <v>215762</v>
      </c>
      <c r="D31" s="1344" t="s">
        <v>720</v>
      </c>
      <c r="E31" s="1343" t="s">
        <v>770</v>
      </c>
      <c r="F31" s="2314" t="str">
        <f>IF(项目基本情况!B11="企业","——",IF(M47="住宅",IF(F6*F7*F8/12/(1+'数据-取费表'!F30)&gt;100000,4%,2.5%),IF(F6*F7*F8/12/(1+'数据-取费表'!F30)&gt;100000,12%,7%)))</f>
        <v>——</v>
      </c>
      <c r="G31" s="1383"/>
      <c r="H31" s="2806" t="s">
        <v>2302</v>
      </c>
      <c r="I31" s="1397"/>
      <c r="J31" s="1398"/>
      <c r="K31" s="2474"/>
      <c r="L31" s="2696"/>
      <c r="M31" s="2697"/>
    </row>
    <row r="32" spans="1:37" ht="18" customHeight="1">
      <c r="A32" s="981" t="s">
        <v>397</v>
      </c>
      <c r="B32" s="302" t="s">
        <v>723</v>
      </c>
      <c r="C32" s="21">
        <f ca="1">IF(项目基本情况!B11="自然人","——",ROUND(C6*F32/(1+'数据-取费表'!C42),0))</f>
        <v>68055</v>
      </c>
      <c r="D32" s="1343" t="s">
        <v>724</v>
      </c>
      <c r="E32" s="302" t="s">
        <v>712</v>
      </c>
      <c r="F32" s="331">
        <f>'数据-取费表'!B41</f>
        <v>5.6000000000000001E-2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145833</v>
      </c>
      <c r="D33" s="1369" t="s">
        <v>3330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1874</v>
      </c>
      <c r="D34" s="324" t="s">
        <v>731</v>
      </c>
      <c r="E34" s="302" t="s">
        <v>732</v>
      </c>
      <c r="F34" s="325">
        <f>'数据-取费表'!B52</f>
        <v>30</v>
      </c>
      <c r="G34" s="1383"/>
      <c r="H34" s="2695"/>
      <c r="I34" s="1397"/>
      <c r="J34" s="1398"/>
      <c r="K34" s="2700"/>
      <c r="L34" s="2701"/>
      <c r="M34" s="2701"/>
    </row>
    <row r="35" spans="1:18" ht="18" customHeight="1">
      <c r="A35" s="1102"/>
      <c r="B35" s="1100"/>
      <c r="C35" s="26"/>
      <c r="D35" s="327"/>
      <c r="E35" s="302" t="s">
        <v>736</v>
      </c>
      <c r="F35" s="303">
        <f ca="1">INDIRECT("'数据-取费表'!r"&amp;$G$1)</f>
        <v>62.48</v>
      </c>
      <c r="G35" s="1383"/>
      <c r="H35" s="2695"/>
      <c r="I35" s="1397"/>
      <c r="J35" s="1398"/>
      <c r="K35" s="2699"/>
      <c r="L35" s="2698"/>
      <c r="M35" s="2698"/>
    </row>
    <row r="36" spans="1:18" ht="18" customHeight="1">
      <c r="A36" s="1101" t="s">
        <v>402</v>
      </c>
      <c r="B36" s="302" t="s">
        <v>738</v>
      </c>
      <c r="C36" s="21">
        <f ca="1">ROUND(C29*F36,0)</f>
        <v>19294</v>
      </c>
      <c r="D36" s="1343" t="s">
        <v>771</v>
      </c>
      <c r="E36" s="302" t="s">
        <v>712</v>
      </c>
      <c r="F36" s="328">
        <f ca="1">INDIRECT("'数据-取费表'!Ak"&amp;$G$1)</f>
        <v>4.0000000000000001E-3</v>
      </c>
      <c r="G36" s="1383"/>
      <c r="H36" s="2698"/>
      <c r="I36" s="1397"/>
      <c r="J36" s="1398"/>
      <c r="K36" s="2543"/>
      <c r="L36" s="2698"/>
      <c r="M36" s="2698"/>
    </row>
    <row r="37" spans="1:18" ht="18" customHeight="1">
      <c r="A37" s="981" t="s">
        <v>437</v>
      </c>
      <c r="B37" s="302" t="s">
        <v>742</v>
      </c>
      <c r="C37" s="21">
        <f ca="1">ROUND(C13*F37,0)</f>
        <v>3232</v>
      </c>
      <c r="D37" s="1343" t="s">
        <v>743</v>
      </c>
      <c r="E37" s="302" t="s">
        <v>744</v>
      </c>
      <c r="F37" s="330">
        <f ca="1">INDIRECT("'数据-取费表'!Al"&amp;$G$1)</f>
        <v>1E-3</v>
      </c>
      <c r="G37" s="1383"/>
      <c r="H37" s="2698"/>
      <c r="I37" s="1397"/>
      <c r="J37" s="1398"/>
      <c r="K37" s="2543"/>
      <c r="L37" s="2698"/>
      <c r="M37" s="2698"/>
    </row>
    <row r="38" spans="1:18" ht="18" customHeight="1" thickBot="1">
      <c r="A38" s="1088" t="s">
        <v>684</v>
      </c>
      <c r="B38" s="1089" t="s">
        <v>728</v>
      </c>
      <c r="C38" s="1090">
        <f ca="1">ROUND(C5*F38,0)</f>
        <v>12776</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1026567</v>
      </c>
      <c r="D39" s="1094" t="s">
        <v>773</v>
      </c>
      <c r="E39" s="1095"/>
      <c r="F39" s="1096"/>
      <c r="G39" s="1383"/>
      <c r="H39" s="2698"/>
      <c r="I39" s="1397"/>
      <c r="J39" s="1398"/>
      <c r="K39" s="2702"/>
      <c r="L39" s="2698"/>
      <c r="M39" s="2698"/>
    </row>
    <row r="40" spans="1:18" ht="18" customHeight="1">
      <c r="A40" s="299" t="s">
        <v>395</v>
      </c>
      <c r="B40" s="300" t="s">
        <v>774</v>
      </c>
      <c r="C40" s="301">
        <f ca="1">ROUND(C39*(1-((1+F42)/(1+F40))^F41)/(F40-F42),0)</f>
        <v>13775979</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18.8</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24116</v>
      </c>
      <c r="D43" s="337" t="s">
        <v>777</v>
      </c>
      <c r="E43" s="338" t="s">
        <v>778</v>
      </c>
      <c r="F43" s="339">
        <f ca="1">INDIRECT("'数据-取费表'!k"&amp;$G$1)</f>
        <v>571.24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3346</v>
      </c>
      <c r="B45" s="1399"/>
      <c r="C45" s="1471">
        <f ca="1">ROUND((C68-C40)/10000,4)</f>
        <v>-1405.7479000000001</v>
      </c>
      <c r="D45" s="3430" t="s">
        <v>3347</v>
      </c>
      <c r="E45" s="1399"/>
      <c r="F45" s="1399"/>
      <c r="O45" s="1402" t="s">
        <v>808</v>
      </c>
      <c r="P45" s="1460"/>
      <c r="Q45" s="1460"/>
      <c r="R45" s="1460"/>
    </row>
    <row r="46" spans="1:18" s="1383" customFormat="1" ht="13.5" thickBot="1">
      <c r="A46" s="1403" t="s">
        <v>809</v>
      </c>
      <c r="C46" s="1404">
        <f ca="1">ROUND(C45,0)</f>
        <v>-1406</v>
      </c>
      <c r="D46" s="1405" t="str">
        <f>C2</f>
        <v>万元</v>
      </c>
      <c r="I46" s="1406" t="s">
        <v>810</v>
      </c>
      <c r="J46" s="1407"/>
      <c r="K46" s="1408"/>
      <c r="L46" s="1409">
        <f ca="1">IF(M47="住宅",0,IF(L48&gt;J51,L60,J60))</f>
        <v>495376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3431</v>
      </c>
      <c r="K47" s="1415" t="s">
        <v>816</v>
      </c>
      <c r="L47" s="1416">
        <f ca="1">INDIRECT("'数据-取费表'!d"&amp;$G$1)</f>
        <v>50</v>
      </c>
      <c r="M47" s="1379" t="str">
        <f>IF(ISNUMBER(FIND("住宅",C1)),"住宅","非住宅")</f>
        <v>非住宅</v>
      </c>
      <c r="O47" s="1417" t="s">
        <v>403</v>
      </c>
      <c r="P47" s="1418" t="s">
        <v>817</v>
      </c>
      <c r="Q47" s="1419">
        <f ca="1">C40+J29</f>
        <v>13775979</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18.8</v>
      </c>
      <c r="O48" s="1417" t="s">
        <v>404</v>
      </c>
      <c r="P48" s="1418" t="s">
        <v>821</v>
      </c>
      <c r="Q48" s="1419">
        <f ca="1">J60</f>
        <v>495376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1997</v>
      </c>
      <c r="K49" s="1422" t="s">
        <v>824</v>
      </c>
      <c r="L49" s="1426"/>
      <c r="O49" s="1427" t="s">
        <v>405</v>
      </c>
      <c r="P49" s="1418" t="s">
        <v>825</v>
      </c>
      <c r="Q49" s="1419">
        <f ca="1">C29</f>
        <v>4823411</v>
      </c>
      <c r="R49" s="1419" t="s">
        <v>818</v>
      </c>
    </row>
    <row r="50" spans="1:18" s="1383" customFormat="1" ht="13.5" thickBot="1">
      <c r="A50" s="975"/>
      <c r="B50" s="978"/>
      <c r="C50" s="979"/>
      <c r="D50" s="952"/>
      <c r="E50" s="1055" t="s">
        <v>697</v>
      </c>
      <c r="F50" s="1056">
        <f ca="1">F7</f>
        <v>571.24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32</v>
      </c>
      <c r="K51" s="1433" t="s">
        <v>830</v>
      </c>
      <c r="L51" s="1434">
        <f ca="1">ROUND(-PV(INDIRECT("'数据-取费表'!h"&amp;$G$1),J51,(C39-C13*C76),0),0)</f>
        <v>12647657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18.8</v>
      </c>
      <c r="R52" s="1419" t="s">
        <v>835</v>
      </c>
    </row>
    <row r="53" spans="1:18" s="1383" customFormat="1" ht="30.75" customHeight="1" thickBot="1">
      <c r="A53" s="1110" t="s">
        <v>440</v>
      </c>
      <c r="B53" s="323"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18.8</v>
      </c>
      <c r="K53" s="3686" t="s">
        <v>837</v>
      </c>
      <c r="L53" s="3687"/>
      <c r="O53" s="1417" t="s">
        <v>409</v>
      </c>
      <c r="P53" s="1418" t="s">
        <v>838</v>
      </c>
      <c r="Q53" s="1419">
        <f ca="1">Q47+Q48</f>
        <v>14271355</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3231685</v>
      </c>
      <c r="D56" s="1446"/>
      <c r="E56" s="1447"/>
      <c r="F56" s="1439"/>
      <c r="I56" s="1448" t="s">
        <v>842</v>
      </c>
      <c r="J56" s="1449" t="s">
        <v>3420</v>
      </c>
      <c r="K56" s="1420" t="s">
        <v>843</v>
      </c>
      <c r="L56" s="1423" t="str">
        <f ca="1">IF(L48&lt;J51,"——",L48-J51)</f>
        <v>——</v>
      </c>
      <c r="O56" s="1417" t="s">
        <v>403</v>
      </c>
      <c r="P56" s="1418" t="s">
        <v>817</v>
      </c>
      <c r="Q56" s="1419">
        <f ca="1">C40+J29</f>
        <v>13775979</v>
      </c>
      <c r="R56" s="1419" t="s">
        <v>818</v>
      </c>
    </row>
    <row r="57" spans="1:18" s="1383" customFormat="1" ht="24.75" thickBot="1">
      <c r="A57" s="1450"/>
      <c r="B57" s="949" t="s">
        <v>767</v>
      </c>
      <c r="C57" s="238">
        <f ca="1">C29</f>
        <v>4823411</v>
      </c>
      <c r="D57" s="1451"/>
      <c r="E57" s="1452"/>
      <c r="F57" s="1453"/>
      <c r="I57" s="1454" t="s">
        <v>844</v>
      </c>
      <c r="J57" s="1455">
        <f ca="1">IF(OR(M47="住宅",J51&lt;L48,J56="是"),"——",J51-L48)</f>
        <v>13.2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24400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1874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1929364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495376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1874</v>
      </c>
      <c r="D62" s="964" t="s">
        <v>786</v>
      </c>
      <c r="E62" s="949" t="s">
        <v>787</v>
      </c>
      <c r="F62" s="325">
        <f t="shared" si="0"/>
        <v>30</v>
      </c>
      <c r="I62" s="1461" t="s">
        <v>858</v>
      </c>
      <c r="J62" s="1462" t="s">
        <v>859</v>
      </c>
      <c r="K62" s="1462" t="s">
        <v>860</v>
      </c>
      <c r="L62" s="1462" t="s">
        <v>861</v>
      </c>
      <c r="M62" s="1463" t="s">
        <v>862</v>
      </c>
      <c r="O62" s="1417" t="s">
        <v>409</v>
      </c>
      <c r="P62" s="1418" t="s">
        <v>863</v>
      </c>
      <c r="Q62" s="1419">
        <f ca="1">Q56+Q57</f>
        <v>13775979</v>
      </c>
      <c r="R62" s="1419" t="s">
        <v>410</v>
      </c>
    </row>
    <row r="63" spans="1:18" s="1383" customFormat="1" ht="13.5" thickBot="1">
      <c r="A63" s="326"/>
      <c r="B63" s="955"/>
      <c r="C63" s="26"/>
      <c r="D63" s="965"/>
      <c r="E63" s="949" t="s">
        <v>788</v>
      </c>
      <c r="F63" s="303">
        <f t="shared" ca="1" si="0"/>
        <v>62.48</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19294</v>
      </c>
      <c r="D64" s="963" t="s">
        <v>791</v>
      </c>
      <c r="E64" s="949" t="s">
        <v>783</v>
      </c>
      <c r="F64" s="328">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3232</v>
      </c>
      <c r="D65" s="963" t="s">
        <v>743</v>
      </c>
      <c r="E65" s="949" t="s">
        <v>744</v>
      </c>
      <c r="F65" s="330">
        <f t="shared" ca="1" si="0"/>
        <v>1E-3</v>
      </c>
      <c r="I65" s="1461" t="s">
        <v>867</v>
      </c>
      <c r="J65" s="1462">
        <v>40</v>
      </c>
      <c r="K65" s="1462">
        <v>30</v>
      </c>
      <c r="L65" s="1462">
        <v>50</v>
      </c>
      <c r="M65" s="1464">
        <v>0.02</v>
      </c>
      <c r="O65" s="1417" t="s">
        <v>403</v>
      </c>
      <c r="P65" s="1418" t="s">
        <v>868</v>
      </c>
      <c r="Q65" s="1419">
        <f ca="1">C40+J29</f>
        <v>13775979</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-24400</v>
      </c>
      <c r="D67" s="962" t="s">
        <v>753</v>
      </c>
      <c r="E67" s="967"/>
      <c r="F67" s="968"/>
      <c r="O67" s="1427" t="s">
        <v>405</v>
      </c>
      <c r="P67" s="1418" t="s">
        <v>850</v>
      </c>
      <c r="Q67" s="1465">
        <f ca="1">L51</f>
        <v>12647657</v>
      </c>
      <c r="R67" s="1419" t="s">
        <v>870</v>
      </c>
    </row>
    <row r="68" spans="1:18" s="1383" customFormat="1" ht="16.5" thickBot="1">
      <c r="A68" s="946" t="s">
        <v>395</v>
      </c>
      <c r="B68" s="947" t="s">
        <v>774</v>
      </c>
      <c r="C68" s="301">
        <f ca="1">ROUND(C67*(1-((1+F70)/(1+F68))^F69)/(F68-F70),0)</f>
        <v>-281500</v>
      </c>
      <c r="D68" s="964" t="s">
        <v>758</v>
      </c>
      <c r="E68" s="949" t="s">
        <v>759</v>
      </c>
      <c r="F68" s="312">
        <f ca="1">F40</f>
        <v>5.5E-2</v>
      </c>
      <c r="O68" s="1427" t="s">
        <v>406</v>
      </c>
      <c r="P68" s="1466" t="s">
        <v>871</v>
      </c>
      <c r="Q68" s="1419">
        <f ca="1">ROUND(Q69-Q70*Q71,0)</f>
        <v>800349</v>
      </c>
      <c r="R68" s="1419" t="s">
        <v>414</v>
      </c>
    </row>
    <row r="69" spans="1:18" s="1383" customFormat="1" ht="13.5" thickBot="1">
      <c r="A69" s="950"/>
      <c r="B69" s="951"/>
      <c r="C69" s="306"/>
      <c r="D69" s="969" t="s">
        <v>762</v>
      </c>
      <c r="E69" s="949" t="s">
        <v>763</v>
      </c>
      <c r="F69" s="333">
        <f ca="1">F41</f>
        <v>18.8</v>
      </c>
      <c r="O69" s="1427" t="s">
        <v>411</v>
      </c>
      <c r="P69" s="1466" t="s">
        <v>872</v>
      </c>
      <c r="Q69" s="1419">
        <f ca="1">C39</f>
        <v>1026567</v>
      </c>
      <c r="R69" s="1419" t="s">
        <v>818</v>
      </c>
    </row>
    <row r="70" spans="1:18" s="1383" customFormat="1" ht="13.5" thickBot="1">
      <c r="A70" s="953"/>
      <c r="B70" s="954"/>
      <c r="C70" s="310"/>
      <c r="D70" s="965"/>
      <c r="E70" s="949" t="s">
        <v>766</v>
      </c>
      <c r="F70" s="1053"/>
      <c r="O70" s="1427" t="s">
        <v>412</v>
      </c>
      <c r="P70" s="1466" t="s">
        <v>873</v>
      </c>
      <c r="Q70" s="1419">
        <f ca="1">C13</f>
        <v>3231685</v>
      </c>
      <c r="R70" s="1419" t="s">
        <v>818</v>
      </c>
    </row>
    <row r="71" spans="1:18" s="1383" customFormat="1" ht="13.5" thickBot="1">
      <c r="A71" s="970" t="s">
        <v>396</v>
      </c>
      <c r="B71" s="971" t="s">
        <v>776</v>
      </c>
      <c r="C71" s="336">
        <f ca="1">ROUND(C68/F71,0)</f>
        <v>-493</v>
      </c>
      <c r="D71" s="972" t="s">
        <v>777</v>
      </c>
      <c r="E71" s="973" t="s">
        <v>778</v>
      </c>
      <c r="F71" s="339">
        <f ca="1">F43</f>
        <v>571.24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226218</v>
      </c>
      <c r="D75" s="1383"/>
      <c r="E75" s="1383"/>
      <c r="F75" s="1383"/>
      <c r="K75" s="1401"/>
      <c r="L75" s="1383"/>
      <c r="O75" s="1417" t="s">
        <v>409</v>
      </c>
      <c r="P75" s="1418" t="s">
        <v>838</v>
      </c>
      <c r="Q75" s="1419">
        <f ca="1">Q65+Q66</f>
        <v>13775979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0.78</v>
      </c>
    </row>
    <row r="80" spans="1:18">
      <c r="B80" s="340" t="s">
        <v>800</v>
      </c>
      <c r="C80" s="274">
        <f ca="1">ROUND(C75/C39,3)</f>
        <v>0.22</v>
      </c>
    </row>
    <row r="81" spans="2:3">
      <c r="B81" s="270" t="s">
        <v>801</v>
      </c>
      <c r="C81" s="238"/>
    </row>
    <row r="82" spans="2:3">
      <c r="B82" s="273" t="s">
        <v>802</v>
      </c>
      <c r="C82" s="275">
        <f ca="1">1-C83</f>
        <v>0.76500000000000001</v>
      </c>
    </row>
    <row r="83" spans="2:3">
      <c r="B83" s="273" t="s">
        <v>803</v>
      </c>
      <c r="C83" s="274">
        <f ca="1">ROUND(C13/C40,3)</f>
        <v>0.23499999999999999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7"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21</v>
      </c>
      <c r="E1" s="3431" t="s">
        <v>3436</v>
      </c>
      <c r="F1" s="1878" t="s">
        <v>3491</v>
      </c>
      <c r="G1" s="1234" t="s">
        <v>1660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0.38840000000000002</v>
      </c>
      <c r="C2" s="1880" t="s">
        <v>43</v>
      </c>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6.8</v>
      </c>
      <c r="C3" s="354" t="s">
        <v>1662</v>
      </c>
      <c r="D3" s="353">
        <f>IF(D1="",'数据-汇总表'!E3,SUMIF('数据-汇总表'!$C19:$C33,D1,'数据-汇总表'!$E19:$E33))</f>
        <v>571.24</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1663</v>
      </c>
      <c r="B4" s="356"/>
      <c r="C4" s="3712" t="s">
        <v>1664</v>
      </c>
      <c r="D4" s="3713"/>
      <c r="E4" s="3714" t="s">
        <v>1665</v>
      </c>
      <c r="F4" s="3715"/>
      <c r="G4" s="3712" t="s">
        <v>1666</v>
      </c>
      <c r="H4" s="3713"/>
      <c r="I4" s="3712" t="s">
        <v>1667</v>
      </c>
      <c r="J4" s="3713"/>
      <c r="K4" s="559" t="s">
        <v>1668</v>
      </c>
      <c r="L4" s="2713"/>
      <c r="M4" s="2714"/>
      <c r="N4" s="2714"/>
      <c r="O4" s="2714"/>
      <c r="P4" s="3716" t="s">
        <v>1669</v>
      </c>
      <c r="Q4" s="3717"/>
      <c r="R4" s="3696" t="s">
        <v>1665</v>
      </c>
      <c r="S4" s="3697"/>
      <c r="T4" s="3696" t="s">
        <v>1666</v>
      </c>
      <c r="U4" s="3697"/>
      <c r="V4" s="3724" t="s">
        <v>1667</v>
      </c>
      <c r="W4" s="3724"/>
      <c r="X4" s="3492"/>
      <c r="Y4" s="3696" t="s">
        <v>1669</v>
      </c>
      <c r="Z4" s="3697"/>
      <c r="AA4" s="3691" t="s">
        <v>1665</v>
      </c>
      <c r="AB4" s="3691" t="s">
        <v>1666</v>
      </c>
      <c r="AC4" s="3709" t="s">
        <v>1667</v>
      </c>
    </row>
    <row r="5" spans="1:29" ht="15">
      <c r="A5" s="358"/>
      <c r="B5" s="359"/>
      <c r="C5" s="3702" t="s">
        <v>3438</v>
      </c>
      <c r="D5" s="3703"/>
      <c r="E5" s="3700" t="s">
        <v>3498</v>
      </c>
      <c r="F5" s="3701"/>
      <c r="G5" s="3700" t="s">
        <v>3507</v>
      </c>
      <c r="H5" s="3701"/>
      <c r="I5" s="3702" t="s">
        <v>3506</v>
      </c>
      <c r="J5" s="3703"/>
      <c r="K5" s="559"/>
      <c r="L5" s="2713"/>
      <c r="M5" s="2714"/>
      <c r="N5" s="2714"/>
      <c r="O5" s="2714"/>
      <c r="P5" s="3718"/>
      <c r="Q5" s="3719"/>
      <c r="R5" s="3698"/>
      <c r="S5" s="3699"/>
      <c r="T5" s="3698"/>
      <c r="U5" s="3699"/>
      <c r="V5" s="3725"/>
      <c r="W5" s="3725"/>
      <c r="X5" s="3493"/>
      <c r="Y5" s="3698"/>
      <c r="Z5" s="3699"/>
      <c r="AA5" s="3692"/>
      <c r="AB5" s="3692"/>
      <c r="AC5" s="3710"/>
    </row>
    <row r="6" spans="1:29" ht="15.75" thickBot="1">
      <c r="A6" s="360"/>
      <c r="B6" s="361"/>
      <c r="C6" s="3704" t="s">
        <v>1674</v>
      </c>
      <c r="D6" s="3705"/>
      <c r="E6" s="3706" t="s">
        <v>1674</v>
      </c>
      <c r="F6" s="3707"/>
      <c r="G6" s="3704" t="s">
        <v>1674</v>
      </c>
      <c r="H6" s="3705"/>
      <c r="I6" s="3704" t="s">
        <v>1674</v>
      </c>
      <c r="J6" s="3705"/>
      <c r="K6" s="559" t="s">
        <v>1675</v>
      </c>
      <c r="L6" s="2713"/>
      <c r="M6" s="2714"/>
      <c r="N6" s="2714"/>
      <c r="O6" s="2714"/>
      <c r="P6" s="3720"/>
      <c r="Q6" s="3721"/>
      <c r="R6" s="3698"/>
      <c r="S6" s="3699"/>
      <c r="T6" s="3722"/>
      <c r="U6" s="3723"/>
      <c r="V6" s="3725"/>
      <c r="W6" s="3725"/>
      <c r="X6" s="3493"/>
      <c r="Y6" s="3722"/>
      <c r="Z6" s="3723"/>
      <c r="AA6" s="3693"/>
      <c r="AB6" s="3693"/>
      <c r="AC6" s="3711"/>
    </row>
    <row r="7" spans="1:29" s="108" customFormat="1" ht="15.75" thickBot="1">
      <c r="A7" s="362" t="s">
        <v>1676</v>
      </c>
      <c r="B7" s="363"/>
      <c r="C7" s="364">
        <f>'数据-取费表'!B2</f>
        <v>45940</v>
      </c>
      <c r="D7" s="365">
        <v>100</v>
      </c>
      <c r="E7" s="366">
        <f>C7</f>
        <v>45940</v>
      </c>
      <c r="F7" s="367">
        <f>SUMIF(59:59,YEAR(E7)&amp;"-"&amp;MONTH(E7),60:60)</f>
        <v>100</v>
      </c>
      <c r="G7" s="366">
        <f>C7</f>
        <v>45940</v>
      </c>
      <c r="H7" s="365">
        <f>SUMIF(59:59,YEAR(G7)&amp;"-"&amp;MONTH(G7),60:60)</f>
        <v>100</v>
      </c>
      <c r="I7" s="366">
        <f>C7</f>
        <v>45940</v>
      </c>
      <c r="J7" s="365">
        <f>SUMIF(59:59,YEAR(I7)&amp;"-"&amp;MONTH(I7),60:60)</f>
        <v>100</v>
      </c>
      <c r="K7" s="560"/>
      <c r="L7" s="2715"/>
      <c r="M7" s="2716"/>
      <c r="N7" s="2716"/>
      <c r="O7" s="2716"/>
      <c r="P7" s="3726" t="s">
        <v>1677</v>
      </c>
      <c r="Q7" s="3727"/>
      <c r="R7" s="700" t="s">
        <v>14</v>
      </c>
      <c r="S7" s="701">
        <f t="shared" ref="S7:S15" si="0">F7</f>
        <v>100</v>
      </c>
      <c r="T7" s="700" t="s">
        <v>14</v>
      </c>
      <c r="U7" s="701">
        <f t="shared" ref="U7:U15" si="1">H7</f>
        <v>100</v>
      </c>
      <c r="V7" s="700" t="s">
        <v>14</v>
      </c>
      <c r="W7" s="701">
        <f t="shared" ref="W7:W15" si="2">J7</f>
        <v>100</v>
      </c>
      <c r="X7" s="702"/>
      <c r="Y7" s="3694" t="s">
        <v>1677</v>
      </c>
      <c r="Z7" s="3695"/>
      <c r="AA7" s="703">
        <f>D7/F7</f>
        <v>1</v>
      </c>
      <c r="AB7" s="703">
        <f>D7/H7</f>
        <v>1</v>
      </c>
      <c r="AC7" s="1958">
        <f>D7/J7</f>
        <v>1</v>
      </c>
    </row>
    <row r="8" spans="1:29" s="108" customFormat="1" ht="15.75" thickBot="1">
      <c r="A8" s="362" t="s">
        <v>1678</v>
      </c>
      <c r="B8" s="363"/>
      <c r="C8" s="368" t="s">
        <v>3439</v>
      </c>
      <c r="D8" s="365">
        <v>100</v>
      </c>
      <c r="E8" s="368" t="s">
        <v>3440</v>
      </c>
      <c r="F8" s="367">
        <f>SUMIF(62:62,E8,63:63)-SUMIF(62:62,C8,63:63)+100</f>
        <v>102</v>
      </c>
      <c r="G8" s="368" t="s">
        <v>3440</v>
      </c>
      <c r="H8" s="365">
        <f>SUMIF(62:62,G8,63:63)-SUMIF(62:62,C8,63:63)+100</f>
        <v>102</v>
      </c>
      <c r="I8" s="368" t="s">
        <v>3440</v>
      </c>
      <c r="J8" s="365">
        <f>SUMIF(62:62,I8,63:63)-SUMIF(62:62,C8,63:63)+100</f>
        <v>102</v>
      </c>
      <c r="K8" s="560"/>
      <c r="L8" s="2715"/>
      <c r="M8" s="2716"/>
      <c r="N8" s="2716"/>
      <c r="O8" s="2716"/>
      <c r="P8" s="3726" t="s">
        <v>1680</v>
      </c>
      <c r="Q8" s="3695"/>
      <c r="R8" s="700" t="s">
        <v>14</v>
      </c>
      <c r="S8" s="701">
        <f t="shared" si="0"/>
        <v>102</v>
      </c>
      <c r="T8" s="700" t="s">
        <v>14</v>
      </c>
      <c r="U8" s="701">
        <f t="shared" si="1"/>
        <v>102</v>
      </c>
      <c r="V8" s="700" t="s">
        <v>14</v>
      </c>
      <c r="W8" s="701">
        <f t="shared" si="2"/>
        <v>102</v>
      </c>
      <c r="X8" s="702"/>
      <c r="Y8" s="3694" t="s">
        <v>1680</v>
      </c>
      <c r="Z8" s="3695"/>
      <c r="AA8" s="703">
        <f t="shared" ref="AA8:AA47" si="3">D8/F8</f>
        <v>0.98039215686274506</v>
      </c>
      <c r="AB8" s="703">
        <f t="shared" ref="AB8:AB47" si="4">D8/H8</f>
        <v>0.98039215686274506</v>
      </c>
      <c r="AC8" s="1958">
        <f t="shared" ref="AC8:AC47" si="5">D8/J8</f>
        <v>0.98039215686274506</v>
      </c>
    </row>
    <row r="9" spans="1:29" s="108" customFormat="1">
      <c r="A9" s="369" t="s">
        <v>1681</v>
      </c>
      <c r="B9" s="63" t="s">
        <v>1682</v>
      </c>
      <c r="C9" s="3479" t="s">
        <v>3442</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8" t="s">
        <v>1683</v>
      </c>
      <c r="Q9" s="3488" t="str">
        <f t="shared" ref="Q9:Q15" si="6">B9</f>
        <v>用途</v>
      </c>
      <c r="R9" s="700" t="s">
        <v>14</v>
      </c>
      <c r="S9" s="701">
        <f t="shared" si="0"/>
        <v>100</v>
      </c>
      <c r="T9" s="700" t="s">
        <v>14</v>
      </c>
      <c r="U9" s="701">
        <f t="shared" si="1"/>
        <v>100</v>
      </c>
      <c r="V9" s="700" t="s">
        <v>14</v>
      </c>
      <c r="W9" s="701">
        <f t="shared" si="2"/>
        <v>100</v>
      </c>
      <c r="X9" s="702"/>
      <c r="Y9" s="3659" t="s">
        <v>1684</v>
      </c>
      <c r="Z9" s="3487" t="str">
        <f t="shared" ref="Z9:Z15" si="7">Q9</f>
        <v>用途</v>
      </c>
      <c r="AA9" s="703">
        <f t="shared" si="3"/>
        <v>1</v>
      </c>
      <c r="AB9" s="703">
        <f t="shared" si="4"/>
        <v>1</v>
      </c>
      <c r="AC9" s="1958">
        <f t="shared" si="5"/>
        <v>1</v>
      </c>
    </row>
    <row r="10" spans="1:29" s="378" customFormat="1" ht="27">
      <c r="A10" s="374"/>
      <c r="B10" s="375" t="s">
        <v>1685</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8"/>
      <c r="Q10" s="3488" t="str">
        <f t="shared" si="6"/>
        <v>土地使用年限（年）</v>
      </c>
      <c r="R10" s="700" t="s">
        <v>14</v>
      </c>
      <c r="S10" s="701">
        <f t="shared" si="0"/>
        <v>100</v>
      </c>
      <c r="T10" s="700" t="s">
        <v>14</v>
      </c>
      <c r="U10" s="701">
        <f t="shared" si="1"/>
        <v>100</v>
      </c>
      <c r="V10" s="700" t="s">
        <v>14</v>
      </c>
      <c r="W10" s="701">
        <f t="shared" si="2"/>
        <v>100</v>
      </c>
      <c r="X10" s="702"/>
      <c r="Y10" s="3659"/>
      <c r="Z10" s="3487" t="str">
        <f t="shared" si="7"/>
        <v>土地使用年限（年）</v>
      </c>
      <c r="AA10" s="703">
        <f t="shared" si="3"/>
        <v>1</v>
      </c>
      <c r="AB10" s="703">
        <f t="shared" si="4"/>
        <v>1</v>
      </c>
      <c r="AC10" s="1958">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8"/>
      <c r="Q11" s="3488" t="str">
        <f t="shared" si="6"/>
        <v>容积率</v>
      </c>
      <c r="R11" s="700" t="s">
        <v>14</v>
      </c>
      <c r="S11" s="701">
        <f t="shared" si="0"/>
        <v>100</v>
      </c>
      <c r="T11" s="700" t="s">
        <v>14</v>
      </c>
      <c r="U11" s="701">
        <f t="shared" si="1"/>
        <v>100</v>
      </c>
      <c r="V11" s="700" t="s">
        <v>14</v>
      </c>
      <c r="W11" s="701">
        <f t="shared" si="2"/>
        <v>100</v>
      </c>
      <c r="X11" s="702"/>
      <c r="Y11" s="3659"/>
      <c r="Z11" s="3487"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08"/>
      <c r="Q12" s="3488">
        <f t="shared" si="6"/>
        <v>111</v>
      </c>
      <c r="R12" s="700" t="s">
        <v>14</v>
      </c>
      <c r="S12" s="701">
        <f t="shared" si="0"/>
        <v>100</v>
      </c>
      <c r="T12" s="700" t="s">
        <v>14</v>
      </c>
      <c r="U12" s="701">
        <f t="shared" si="1"/>
        <v>100</v>
      </c>
      <c r="V12" s="700" t="s">
        <v>14</v>
      </c>
      <c r="W12" s="701">
        <f t="shared" si="2"/>
        <v>100</v>
      </c>
      <c r="X12" s="702"/>
      <c r="Y12" s="3659"/>
      <c r="Z12" s="3487">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08"/>
      <c r="Q13" s="3488">
        <f t="shared" si="6"/>
        <v>111</v>
      </c>
      <c r="R13" s="700" t="s">
        <v>14</v>
      </c>
      <c r="S13" s="701">
        <f t="shared" si="0"/>
        <v>100</v>
      </c>
      <c r="T13" s="700" t="s">
        <v>14</v>
      </c>
      <c r="U13" s="701">
        <f t="shared" si="1"/>
        <v>100</v>
      </c>
      <c r="V13" s="700" t="s">
        <v>14</v>
      </c>
      <c r="W13" s="701">
        <f t="shared" si="2"/>
        <v>100</v>
      </c>
      <c r="X13" s="702"/>
      <c r="Y13" s="3659"/>
      <c r="Z13" s="348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08"/>
      <c r="Q14" s="3488">
        <f t="shared" si="6"/>
        <v>111</v>
      </c>
      <c r="R14" s="700" t="s">
        <v>14</v>
      </c>
      <c r="S14" s="701">
        <f t="shared" si="0"/>
        <v>100</v>
      </c>
      <c r="T14" s="700" t="s">
        <v>14</v>
      </c>
      <c r="U14" s="701">
        <f t="shared" si="1"/>
        <v>100</v>
      </c>
      <c r="V14" s="700" t="s">
        <v>14</v>
      </c>
      <c r="W14" s="701">
        <f t="shared" si="2"/>
        <v>100</v>
      </c>
      <c r="X14" s="702"/>
      <c r="Y14" s="3659"/>
      <c r="Z14" s="3487">
        <f t="shared" si="7"/>
        <v>111</v>
      </c>
      <c r="AA14" s="703">
        <f t="shared" si="3"/>
        <v>1</v>
      </c>
      <c r="AB14" s="703">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97</v>
      </c>
      <c r="I15" s="393"/>
      <c r="J15" s="392">
        <f>SUMIF(77:77,I16,78:78)-SUMIF(77:77,C16,78:78)+100</f>
        <v>100</v>
      </c>
      <c r="K15" s="563">
        <v>3</v>
      </c>
      <c r="L15" s="2720"/>
      <c r="M15" s="2714"/>
      <c r="N15" s="2714"/>
      <c r="O15" s="2714"/>
      <c r="P15" s="3728" t="s">
        <v>1688</v>
      </c>
      <c r="Q15" s="3489" t="str">
        <f t="shared" si="6"/>
        <v>办公集聚程度</v>
      </c>
      <c r="R15" s="704" t="s">
        <v>14</v>
      </c>
      <c r="S15" s="705">
        <f t="shared" si="0"/>
        <v>100</v>
      </c>
      <c r="T15" s="704" t="s">
        <v>14</v>
      </c>
      <c r="U15" s="705">
        <f t="shared" si="1"/>
        <v>97</v>
      </c>
      <c r="V15" s="704" t="s">
        <v>14</v>
      </c>
      <c r="W15" s="705">
        <f t="shared" si="2"/>
        <v>100</v>
      </c>
      <c r="X15" s="3493"/>
      <c r="Y15" s="3730" t="s">
        <v>1688</v>
      </c>
      <c r="Z15" s="3491" t="str">
        <f t="shared" si="7"/>
        <v>办公集聚程度</v>
      </c>
      <c r="AA15" s="3490">
        <f t="shared" si="3"/>
        <v>1</v>
      </c>
      <c r="AB15" s="3490">
        <f t="shared" si="4"/>
        <v>1.0309278350515463</v>
      </c>
      <c r="AC15" s="1961">
        <f t="shared" si="5"/>
        <v>1</v>
      </c>
    </row>
    <row r="16" spans="1:29" ht="15">
      <c r="A16" s="379"/>
      <c r="B16" s="578"/>
      <c r="C16" s="1903" t="s">
        <v>3486</v>
      </c>
      <c r="D16" s="399"/>
      <c r="E16" s="398" t="s">
        <v>3486</v>
      </c>
      <c r="F16" s="399"/>
      <c r="G16" s="1903" t="s">
        <v>3469</v>
      </c>
      <c r="H16" s="401"/>
      <c r="I16" s="398" t="s">
        <v>3486</v>
      </c>
      <c r="J16" s="399"/>
      <c r="K16" s="564"/>
      <c r="L16" s="2720"/>
      <c r="M16" s="2714"/>
      <c r="N16" s="2714"/>
      <c r="O16" s="2714"/>
      <c r="P16" s="3729"/>
      <c r="Q16" s="3489"/>
      <c r="R16" s="704"/>
      <c r="S16" s="705"/>
      <c r="T16" s="704"/>
      <c r="U16" s="705"/>
      <c r="V16" s="704"/>
      <c r="W16" s="705"/>
      <c r="X16" s="3493"/>
      <c r="Y16" s="3731"/>
      <c r="Z16" s="3491"/>
      <c r="AA16" s="3490">
        <v>1</v>
      </c>
      <c r="AB16" s="3490">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29"/>
      <c r="Q17" s="3489" t="str">
        <f>B17</f>
        <v>交通便捷度</v>
      </c>
      <c r="R17" s="704" t="s">
        <v>14</v>
      </c>
      <c r="S17" s="705">
        <f>F17</f>
        <v>100</v>
      </c>
      <c r="T17" s="704" t="s">
        <v>14</v>
      </c>
      <c r="U17" s="705">
        <f>H17</f>
        <v>100</v>
      </c>
      <c r="V17" s="704" t="s">
        <v>14</v>
      </c>
      <c r="W17" s="705">
        <f>J17</f>
        <v>100</v>
      </c>
      <c r="X17" s="3493"/>
      <c r="Y17" s="3731"/>
      <c r="Z17" s="3491" t="str">
        <f>Q17</f>
        <v>交通便捷度</v>
      </c>
      <c r="AA17" s="3490">
        <f t="shared" si="3"/>
        <v>1</v>
      </c>
      <c r="AB17" s="3490">
        <f t="shared" si="4"/>
        <v>1</v>
      </c>
      <c r="AC17" s="1961">
        <f t="shared" si="5"/>
        <v>1</v>
      </c>
    </row>
    <row r="18" spans="1:29" ht="15">
      <c r="A18" s="379"/>
      <c r="B18" s="580"/>
      <c r="C18" s="1963" t="s">
        <v>3486</v>
      </c>
      <c r="D18" s="401"/>
      <c r="E18" s="1901" t="s">
        <v>3486</v>
      </c>
      <c r="F18" s="401"/>
      <c r="G18" s="1902" t="s">
        <v>3486</v>
      </c>
      <c r="H18" s="399"/>
      <c r="I18" s="1902" t="s">
        <v>3486</v>
      </c>
      <c r="J18" s="399"/>
      <c r="K18" s="564"/>
      <c r="L18" s="2720"/>
      <c r="M18" s="2714"/>
      <c r="N18" s="2714"/>
      <c r="O18" s="2714"/>
      <c r="P18" s="3729"/>
      <c r="Q18" s="3489"/>
      <c r="R18" s="704"/>
      <c r="S18" s="705"/>
      <c r="T18" s="704"/>
      <c r="U18" s="705"/>
      <c r="V18" s="704"/>
      <c r="W18" s="705"/>
      <c r="X18" s="3493"/>
      <c r="Y18" s="3731"/>
      <c r="Z18" s="3491"/>
      <c r="AA18" s="3490">
        <v>1</v>
      </c>
      <c r="AB18" s="3490">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29"/>
      <c r="Q19" s="3489" t="str">
        <f>B19</f>
        <v>公共配套设施</v>
      </c>
      <c r="R19" s="704" t="s">
        <v>14</v>
      </c>
      <c r="S19" s="705">
        <f>F19</f>
        <v>100</v>
      </c>
      <c r="T19" s="704" t="s">
        <v>14</v>
      </c>
      <c r="U19" s="705">
        <f>H19</f>
        <v>100</v>
      </c>
      <c r="V19" s="704" t="s">
        <v>14</v>
      </c>
      <c r="W19" s="705">
        <f>J19</f>
        <v>100</v>
      </c>
      <c r="X19" s="3493"/>
      <c r="Y19" s="3731"/>
      <c r="Z19" s="3491" t="str">
        <f>Q19</f>
        <v>公共配套设施</v>
      </c>
      <c r="AA19" s="3490">
        <f t="shared" si="3"/>
        <v>1</v>
      </c>
      <c r="AB19" s="3490">
        <f t="shared" si="4"/>
        <v>1</v>
      </c>
      <c r="AC19" s="1961">
        <f t="shared" si="5"/>
        <v>1</v>
      </c>
    </row>
    <row r="20" spans="1:29" ht="15">
      <c r="A20" s="379"/>
      <c r="B20" s="580"/>
      <c r="C20" s="1903" t="s">
        <v>3486</v>
      </c>
      <c r="D20" s="399"/>
      <c r="E20" s="1903" t="s">
        <v>3486</v>
      </c>
      <c r="F20" s="399"/>
      <c r="G20" s="1903" t="s">
        <v>3486</v>
      </c>
      <c r="H20" s="399"/>
      <c r="I20" s="1903" t="s">
        <v>3486</v>
      </c>
      <c r="J20" s="399"/>
      <c r="K20" s="564"/>
      <c r="L20" s="2720"/>
      <c r="M20" s="2714"/>
      <c r="N20" s="2714"/>
      <c r="O20" s="2714"/>
      <c r="P20" s="3729"/>
      <c r="Q20" s="3489"/>
      <c r="R20" s="704"/>
      <c r="S20" s="705"/>
      <c r="T20" s="704"/>
      <c r="U20" s="705"/>
      <c r="V20" s="704"/>
      <c r="W20" s="705"/>
      <c r="X20" s="3493"/>
      <c r="Y20" s="3731"/>
      <c r="Z20" s="3491"/>
      <c r="AA20" s="3490">
        <v>1</v>
      </c>
      <c r="AB20" s="3490">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29"/>
      <c r="Q21" s="3489" t="str">
        <f>B21</f>
        <v>基础设施水平</v>
      </c>
      <c r="R21" s="704" t="s">
        <v>14</v>
      </c>
      <c r="S21" s="705">
        <f>F21</f>
        <v>100</v>
      </c>
      <c r="T21" s="704" t="s">
        <v>14</v>
      </c>
      <c r="U21" s="705">
        <f>H21</f>
        <v>100</v>
      </c>
      <c r="V21" s="704" t="s">
        <v>14</v>
      </c>
      <c r="W21" s="705">
        <f>J21</f>
        <v>100</v>
      </c>
      <c r="X21" s="3493"/>
      <c r="Y21" s="3731"/>
      <c r="Z21" s="3491" t="str">
        <f>Q21</f>
        <v>基础设施水平</v>
      </c>
      <c r="AA21" s="3490">
        <f t="shared" ref="AA21" si="8">D21/F21</f>
        <v>1</v>
      </c>
      <c r="AB21" s="3490">
        <f t="shared" ref="AB21" si="9">D21/H21</f>
        <v>1</v>
      </c>
      <c r="AC21" s="1961">
        <f t="shared" ref="AC21" si="10">D21/J21</f>
        <v>1</v>
      </c>
    </row>
    <row r="22" spans="1:29" ht="15">
      <c r="A22" s="379"/>
      <c r="B22" s="581"/>
      <c r="C22" s="1963" t="s">
        <v>3487</v>
      </c>
      <c r="D22" s="399"/>
      <c r="E22" s="1963" t="s">
        <v>3487</v>
      </c>
      <c r="F22" s="399"/>
      <c r="G22" s="1963" t="s">
        <v>3487</v>
      </c>
      <c r="H22" s="399"/>
      <c r="I22" s="1963" t="s">
        <v>3487</v>
      </c>
      <c r="J22" s="399"/>
      <c r="K22" s="1129"/>
      <c r="L22" s="2720"/>
      <c r="M22" s="2714"/>
      <c r="N22" s="2714"/>
      <c r="O22" s="2714"/>
      <c r="P22" s="3729"/>
      <c r="Q22" s="3489"/>
      <c r="R22" s="704"/>
      <c r="S22" s="705"/>
      <c r="T22" s="704"/>
      <c r="U22" s="705"/>
      <c r="V22" s="704"/>
      <c r="W22" s="705"/>
      <c r="X22" s="3493"/>
      <c r="Y22" s="3731"/>
      <c r="Z22" s="3491"/>
      <c r="AA22" s="3490">
        <v>1</v>
      </c>
      <c r="AB22" s="3490">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29"/>
      <c r="Q23" s="3489" t="str">
        <f>B23</f>
        <v>环境质量</v>
      </c>
      <c r="R23" s="704" t="s">
        <v>14</v>
      </c>
      <c r="S23" s="705">
        <f>F23</f>
        <v>100</v>
      </c>
      <c r="T23" s="704" t="s">
        <v>14</v>
      </c>
      <c r="U23" s="705">
        <f>H23</f>
        <v>100</v>
      </c>
      <c r="V23" s="704" t="s">
        <v>14</v>
      </c>
      <c r="W23" s="705">
        <f>J23</f>
        <v>100</v>
      </c>
      <c r="X23" s="3493"/>
      <c r="Y23" s="3731"/>
      <c r="Z23" s="3491" t="str">
        <f>Q23</f>
        <v>环境质量</v>
      </c>
      <c r="AA23" s="3490">
        <f t="shared" si="3"/>
        <v>1</v>
      </c>
      <c r="AB23" s="3490">
        <f t="shared" si="4"/>
        <v>1</v>
      </c>
      <c r="AC23" s="1961">
        <f t="shared" si="5"/>
        <v>1</v>
      </c>
    </row>
    <row r="24" spans="1:29" ht="15">
      <c r="A24" s="379"/>
      <c r="B24" s="581"/>
      <c r="C24" s="1903" t="s">
        <v>3469</v>
      </c>
      <c r="D24" s="399"/>
      <c r="E24" s="1903" t="s">
        <v>3469</v>
      </c>
      <c r="F24" s="399"/>
      <c r="G24" s="1903" t="s">
        <v>3469</v>
      </c>
      <c r="H24" s="399"/>
      <c r="I24" s="1903" t="s">
        <v>3469</v>
      </c>
      <c r="J24" s="399"/>
      <c r="K24" s="564"/>
      <c r="L24" s="2720"/>
      <c r="M24" s="2714"/>
      <c r="N24" s="2714"/>
      <c r="O24" s="2714"/>
      <c r="P24" s="3729"/>
      <c r="Q24" s="3489"/>
      <c r="R24" s="704"/>
      <c r="S24" s="705"/>
      <c r="T24" s="704"/>
      <c r="U24" s="705"/>
      <c r="V24" s="704"/>
      <c r="W24" s="705"/>
      <c r="X24" s="3493"/>
      <c r="Y24" s="3731"/>
      <c r="Z24" s="3491"/>
      <c r="AA24" s="3490">
        <v>1</v>
      </c>
      <c r="AB24" s="3490">
        <v>1</v>
      </c>
      <c r="AC24" s="1961">
        <v>1</v>
      </c>
    </row>
    <row r="25" spans="1:29" ht="27">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29"/>
      <c r="Q25" s="3489" t="str">
        <f>B25</f>
        <v>毗邻道路的类型与等级</v>
      </c>
      <c r="R25" s="704" t="s">
        <v>14</v>
      </c>
      <c r="S25" s="705">
        <f>F25</f>
        <v>100</v>
      </c>
      <c r="T25" s="704" t="s">
        <v>14</v>
      </c>
      <c r="U25" s="705">
        <f>H25</f>
        <v>100</v>
      </c>
      <c r="V25" s="704" t="s">
        <v>14</v>
      </c>
      <c r="W25" s="705">
        <f>J25</f>
        <v>100</v>
      </c>
      <c r="X25" s="3493"/>
      <c r="Y25" s="3731"/>
      <c r="Z25" s="3491" t="str">
        <f>Q25</f>
        <v>毗邻道路的类型与等级</v>
      </c>
      <c r="AA25" s="3490">
        <f t="shared" si="3"/>
        <v>1</v>
      </c>
      <c r="AB25" s="3490">
        <f t="shared" si="4"/>
        <v>1</v>
      </c>
      <c r="AC25" s="1961">
        <f t="shared" si="5"/>
        <v>1</v>
      </c>
    </row>
    <row r="26" spans="1:29" ht="15">
      <c r="A26" s="358"/>
      <c r="B26" s="580"/>
      <c r="C26" s="582"/>
      <c r="D26" s="386"/>
      <c r="E26" s="565"/>
      <c r="F26" s="386"/>
      <c r="G26" s="582"/>
      <c r="H26" s="386"/>
      <c r="I26" s="565"/>
      <c r="J26" s="386"/>
      <c r="K26" s="564"/>
      <c r="L26" s="2720"/>
      <c r="M26" s="2714"/>
      <c r="N26" s="2714"/>
      <c r="O26" s="2714"/>
      <c r="P26" s="3729"/>
      <c r="Q26" s="3489"/>
      <c r="R26" s="704"/>
      <c r="S26" s="705"/>
      <c r="T26" s="704"/>
      <c r="U26" s="705"/>
      <c r="V26" s="704"/>
      <c r="W26" s="705"/>
      <c r="X26" s="3493"/>
      <c r="Y26" s="3731"/>
      <c r="Z26" s="3491"/>
      <c r="AA26" s="3490">
        <v>1</v>
      </c>
      <c r="AB26" s="3490">
        <v>1</v>
      </c>
      <c r="AC26" s="1961">
        <v>1</v>
      </c>
    </row>
    <row r="27" spans="1:29" ht="15">
      <c r="A27" s="379"/>
      <c r="B27" s="580" t="s">
        <v>1780</v>
      </c>
      <c r="C27" s="582" t="s">
        <v>3450</v>
      </c>
      <c r="D27" s="386">
        <v>100</v>
      </c>
      <c r="E27" s="565" t="s">
        <v>3450</v>
      </c>
      <c r="F27" s="386">
        <f>SUMIF(89:89,E27,90:90)-SUMIF(89:89,C27,90:90)+100</f>
        <v>100</v>
      </c>
      <c r="G27" s="582" t="s">
        <v>3450</v>
      </c>
      <c r="H27" s="386">
        <f>SUMIF(89:89,G27,90:90)-SUMIF(89:89,C27,90:90)+100</f>
        <v>100</v>
      </c>
      <c r="I27" s="565" t="s">
        <v>3489</v>
      </c>
      <c r="J27" s="386">
        <f>SUMIF(89:89,I27,90:90)-SUMIF(89:89,C27,90:90)+100</f>
        <v>102</v>
      </c>
      <c r="K27" s="561">
        <v>2</v>
      </c>
      <c r="L27" s="2720"/>
      <c r="M27" s="2714"/>
      <c r="N27" s="2714"/>
      <c r="O27" s="2714"/>
      <c r="P27" s="3729"/>
      <c r="Q27" s="3489" t="str">
        <f t="shared" ref="Q27:Q47" si="11">B27</f>
        <v>楼层</v>
      </c>
      <c r="R27" s="704" t="s">
        <v>14</v>
      </c>
      <c r="S27" s="705">
        <f>F27</f>
        <v>100</v>
      </c>
      <c r="T27" s="704" t="s">
        <v>14</v>
      </c>
      <c r="U27" s="705">
        <f>H27</f>
        <v>100</v>
      </c>
      <c r="V27" s="704" t="s">
        <v>14</v>
      </c>
      <c r="W27" s="705">
        <f>J27</f>
        <v>102</v>
      </c>
      <c r="X27" s="3493"/>
      <c r="Y27" s="3731"/>
      <c r="Z27" s="3491" t="str">
        <f>Q27</f>
        <v>楼层</v>
      </c>
      <c r="AA27" s="3490">
        <f t="shared" si="3"/>
        <v>1</v>
      </c>
      <c r="AB27" s="3490">
        <f t="shared" si="4"/>
        <v>1</v>
      </c>
      <c r="AC27" s="1961">
        <f t="shared" si="5"/>
        <v>0.98039215686274506</v>
      </c>
    </row>
    <row r="28" spans="1:29" s="108" customFormat="1" ht="15">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29"/>
      <c r="Q28" s="3488" t="str">
        <f t="shared" si="11"/>
        <v>朝向</v>
      </c>
      <c r="R28" s="700" t="s">
        <v>14</v>
      </c>
      <c r="S28" s="701">
        <f>F28</f>
        <v>100</v>
      </c>
      <c r="T28" s="700" t="s">
        <v>14</v>
      </c>
      <c r="U28" s="701">
        <f>H28</f>
        <v>100</v>
      </c>
      <c r="V28" s="700" t="s">
        <v>14</v>
      </c>
      <c r="W28" s="701">
        <f>J28</f>
        <v>100</v>
      </c>
      <c r="X28" s="702"/>
      <c r="Y28" s="3731"/>
      <c r="Z28" s="3487" t="str">
        <f>Q28</f>
        <v>朝向</v>
      </c>
      <c r="AA28" s="3490">
        <f>D28/F28</f>
        <v>1</v>
      </c>
      <c r="AB28" s="3490">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29"/>
      <c r="Q29" s="3489">
        <f t="shared" si="11"/>
        <v>111</v>
      </c>
      <c r="R29" s="704" t="s">
        <v>14</v>
      </c>
      <c r="S29" s="705">
        <f t="shared" ref="S29:S47" si="12">F29</f>
        <v>100</v>
      </c>
      <c r="T29" s="704" t="s">
        <v>14</v>
      </c>
      <c r="U29" s="705">
        <f t="shared" ref="U29:U47" si="13">H29</f>
        <v>100</v>
      </c>
      <c r="V29" s="704" t="s">
        <v>14</v>
      </c>
      <c r="W29" s="705">
        <f t="shared" ref="W29:W47" si="14">J29</f>
        <v>100</v>
      </c>
      <c r="X29" s="3493"/>
      <c r="Y29" s="3731"/>
      <c r="Z29" s="3491">
        <f t="shared" ref="Z29:Z47" si="15">Q29</f>
        <v>111</v>
      </c>
      <c r="AA29" s="3490">
        <f t="shared" si="3"/>
        <v>1</v>
      </c>
      <c r="AB29" s="3490">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29"/>
      <c r="Q30" s="3489">
        <f t="shared" si="11"/>
        <v>111</v>
      </c>
      <c r="R30" s="704" t="s">
        <v>14</v>
      </c>
      <c r="S30" s="705">
        <f t="shared" si="12"/>
        <v>100</v>
      </c>
      <c r="T30" s="704" t="s">
        <v>14</v>
      </c>
      <c r="U30" s="705">
        <f t="shared" si="13"/>
        <v>100</v>
      </c>
      <c r="V30" s="704" t="s">
        <v>14</v>
      </c>
      <c r="W30" s="705">
        <f t="shared" si="14"/>
        <v>100</v>
      </c>
      <c r="X30" s="3493"/>
      <c r="Y30" s="3731"/>
      <c r="Z30" s="3491">
        <f t="shared" si="15"/>
        <v>111</v>
      </c>
      <c r="AA30" s="3490">
        <f t="shared" si="3"/>
        <v>1</v>
      </c>
      <c r="AB30" s="3490">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29"/>
      <c r="Q31" s="3489">
        <f t="shared" si="11"/>
        <v>111</v>
      </c>
      <c r="R31" s="704" t="s">
        <v>14</v>
      </c>
      <c r="S31" s="705">
        <f t="shared" si="12"/>
        <v>100</v>
      </c>
      <c r="T31" s="704" t="s">
        <v>14</v>
      </c>
      <c r="U31" s="705">
        <f t="shared" si="13"/>
        <v>100</v>
      </c>
      <c r="V31" s="704" t="s">
        <v>14</v>
      </c>
      <c r="W31" s="705">
        <f t="shared" si="14"/>
        <v>100</v>
      </c>
      <c r="X31" s="3493"/>
      <c r="Y31" s="3731"/>
      <c r="Z31" s="3491">
        <f t="shared" si="15"/>
        <v>111</v>
      </c>
      <c r="AA31" s="3490">
        <f t="shared" si="3"/>
        <v>1</v>
      </c>
      <c r="AB31" s="3490">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29"/>
      <c r="Q32" s="3489">
        <f t="shared" si="11"/>
        <v>111</v>
      </c>
      <c r="R32" s="704" t="s">
        <v>14</v>
      </c>
      <c r="S32" s="705">
        <f t="shared" si="12"/>
        <v>100</v>
      </c>
      <c r="T32" s="704" t="s">
        <v>14</v>
      </c>
      <c r="U32" s="705">
        <f t="shared" si="13"/>
        <v>100</v>
      </c>
      <c r="V32" s="704" t="s">
        <v>14</v>
      </c>
      <c r="W32" s="705">
        <f t="shared" si="14"/>
        <v>100</v>
      </c>
      <c r="X32" s="3493"/>
      <c r="Y32" s="3731"/>
      <c r="Z32" s="3491">
        <f t="shared" si="15"/>
        <v>111</v>
      </c>
      <c r="AA32" s="3490">
        <f t="shared" si="3"/>
        <v>1</v>
      </c>
      <c r="AB32" s="3490">
        <f t="shared" si="4"/>
        <v>1</v>
      </c>
      <c r="AC32" s="1961">
        <f t="shared" si="5"/>
        <v>1</v>
      </c>
    </row>
    <row r="33" spans="1:29" ht="15">
      <c r="A33" s="391" t="s">
        <v>1691</v>
      </c>
      <c r="B33" s="63" t="s">
        <v>1814</v>
      </c>
      <c r="C33" s="1966" t="s">
        <v>3452</v>
      </c>
      <c r="D33" s="418">
        <v>100</v>
      </c>
      <c r="E33" s="1966" t="s">
        <v>3452</v>
      </c>
      <c r="F33" s="412">
        <f>SUMIF(101:101,E33,102:102)-SUMIF(101:101,C33,102:102)+100</f>
        <v>100</v>
      </c>
      <c r="G33" s="1966" t="s">
        <v>3452</v>
      </c>
      <c r="H33" s="386">
        <f>SUMIF(101:101,G33,102:102)-SUMIF(101:101,C33,102:102)+100</f>
        <v>100</v>
      </c>
      <c r="I33" s="1966" t="s">
        <v>3452</v>
      </c>
      <c r="J33" s="418">
        <f>SUMIF(101:101,I33,102:102)-SUMIF(101:101,C33,102:102)+100</f>
        <v>100</v>
      </c>
      <c r="K33" s="561">
        <v>2</v>
      </c>
      <c r="L33" s="2720"/>
      <c r="M33" s="2714"/>
      <c r="N33" s="2714"/>
      <c r="O33" s="2714"/>
      <c r="P33" s="3732" t="s">
        <v>1693</v>
      </c>
      <c r="Q33" s="3489" t="str">
        <f t="shared" si="11"/>
        <v>建筑类型</v>
      </c>
      <c r="R33" s="704" t="s">
        <v>14</v>
      </c>
      <c r="S33" s="705">
        <f t="shared" si="12"/>
        <v>100</v>
      </c>
      <c r="T33" s="704" t="s">
        <v>14</v>
      </c>
      <c r="U33" s="705">
        <f t="shared" si="13"/>
        <v>100</v>
      </c>
      <c r="V33" s="704" t="s">
        <v>14</v>
      </c>
      <c r="W33" s="705">
        <f t="shared" si="14"/>
        <v>100</v>
      </c>
      <c r="X33" s="3493"/>
      <c r="Y33" s="3735" t="s">
        <v>1693</v>
      </c>
      <c r="Z33" s="3491" t="str">
        <f t="shared" si="15"/>
        <v>建筑类型</v>
      </c>
      <c r="AA33" s="3490">
        <f t="shared" si="3"/>
        <v>1</v>
      </c>
      <c r="AB33" s="3490">
        <f t="shared" si="4"/>
        <v>1</v>
      </c>
      <c r="AC33" s="1961">
        <f t="shared" si="5"/>
        <v>1</v>
      </c>
    </row>
    <row r="34" spans="1:29" s="422" customFormat="1" ht="15">
      <c r="A34" s="419"/>
      <c r="B34" s="375" t="s">
        <v>1694</v>
      </c>
      <c r="C34" s="420">
        <f>'数据-基础表'!I13</f>
        <v>571.24</v>
      </c>
      <c r="D34" s="127">
        <v>100</v>
      </c>
      <c r="E34" s="420">
        <v>436</v>
      </c>
      <c r="F34" s="376">
        <f>LOOKUP(E34,104:104,105:105)-LOOKUP(C34,104:104,105:105)+100</f>
        <v>101</v>
      </c>
      <c r="G34" s="420">
        <v>382.83</v>
      </c>
      <c r="H34" s="127">
        <f>LOOKUP(G34,104:104,105:105)-LOOKUP(C34,104:104,105:105)+100</f>
        <v>101</v>
      </c>
      <c r="I34" s="420">
        <v>818</v>
      </c>
      <c r="J34" s="127">
        <f>LOOKUP(I34,104:104,105:105)-LOOKUP(C34,104:104,105:105)+100</f>
        <v>99</v>
      </c>
      <c r="K34" s="562"/>
      <c r="L34" s="2719"/>
      <c r="M34" s="2721"/>
      <c r="N34" s="2721"/>
      <c r="O34" s="2721"/>
      <c r="P34" s="3733"/>
      <c r="Q34" s="706" t="str">
        <f t="shared" si="11"/>
        <v>项目建筑规模</v>
      </c>
      <c r="R34" s="707" t="s">
        <v>14</v>
      </c>
      <c r="S34" s="708">
        <f t="shared" si="12"/>
        <v>101</v>
      </c>
      <c r="T34" s="707" t="s">
        <v>14</v>
      </c>
      <c r="U34" s="708">
        <f t="shared" si="13"/>
        <v>101</v>
      </c>
      <c r="V34" s="707" t="s">
        <v>14</v>
      </c>
      <c r="W34" s="708">
        <f t="shared" si="14"/>
        <v>99</v>
      </c>
      <c r="X34" s="709"/>
      <c r="Y34" s="3735"/>
      <c r="Z34" s="710" t="str">
        <f t="shared" si="15"/>
        <v>项目建筑规模</v>
      </c>
      <c r="AA34" s="3490">
        <f t="shared" si="3"/>
        <v>0.99009900990099009</v>
      </c>
      <c r="AB34" s="3490">
        <f t="shared" si="4"/>
        <v>0.99009900990099009</v>
      </c>
      <c r="AC34" s="1961">
        <f t="shared" si="5"/>
        <v>1.0101010101010102</v>
      </c>
    </row>
    <row r="35" spans="1:29" ht="15">
      <c r="A35" s="423"/>
      <c r="B35" s="375" t="s">
        <v>1695</v>
      </c>
      <c r="C35" s="411" t="s">
        <v>3431</v>
      </c>
      <c r="D35" s="386">
        <v>100</v>
      </c>
      <c r="E35" s="411" t="s">
        <v>3431</v>
      </c>
      <c r="F35" s="412">
        <f>SUMIF(106:106,E35,107:107)-SUMIF(106:106,C35,107:107)+100</f>
        <v>100</v>
      </c>
      <c r="G35" s="411" t="s">
        <v>3431</v>
      </c>
      <c r="H35" s="386">
        <f>SUMIF(106:106,G35,107:107)-SUMIF(106:106,C35,107:107)+100</f>
        <v>100</v>
      </c>
      <c r="I35" s="411" t="s">
        <v>3431</v>
      </c>
      <c r="J35" s="386">
        <f>SUMIF(106:106,I35,107:107)-SUMIF(106:106,C35,107:107)+100</f>
        <v>100</v>
      </c>
      <c r="K35" s="561">
        <v>1</v>
      </c>
      <c r="L35" s="2720"/>
      <c r="M35" s="2714"/>
      <c r="N35" s="2714"/>
      <c r="O35" s="2714"/>
      <c r="P35" s="3733"/>
      <c r="Q35" s="3489" t="str">
        <f t="shared" si="11"/>
        <v>建筑结构</v>
      </c>
      <c r="R35" s="704" t="s">
        <v>14</v>
      </c>
      <c r="S35" s="705">
        <f t="shared" si="12"/>
        <v>100</v>
      </c>
      <c r="T35" s="704" t="s">
        <v>14</v>
      </c>
      <c r="U35" s="705">
        <f t="shared" si="13"/>
        <v>100</v>
      </c>
      <c r="V35" s="704" t="s">
        <v>14</v>
      </c>
      <c r="W35" s="705">
        <f t="shared" si="14"/>
        <v>100</v>
      </c>
      <c r="X35" s="3493"/>
      <c r="Y35" s="3735"/>
      <c r="Z35" s="3491" t="str">
        <f t="shared" si="15"/>
        <v>建筑结构</v>
      </c>
      <c r="AA35" s="3490">
        <f t="shared" si="3"/>
        <v>1</v>
      </c>
      <c r="AB35" s="3490">
        <f t="shared" si="4"/>
        <v>1</v>
      </c>
      <c r="AC35" s="1961">
        <f t="shared" si="5"/>
        <v>1</v>
      </c>
    </row>
    <row r="36" spans="1:29" ht="15">
      <c r="A36" s="423"/>
      <c r="B36" s="375" t="s">
        <v>1782</v>
      </c>
      <c r="C36" s="411" t="s">
        <v>3455</v>
      </c>
      <c r="D36" s="386">
        <v>100</v>
      </c>
      <c r="E36" s="411" t="s">
        <v>3455</v>
      </c>
      <c r="F36" s="412">
        <f>SUMIF(108:108,E36,109:109)-SUMIF(108:108,C36,109:109)+100</f>
        <v>100</v>
      </c>
      <c r="G36" s="411" t="s">
        <v>3455</v>
      </c>
      <c r="H36" s="386">
        <f>SUMIF(108:108,G36,109:109)-SUMIF(108:108,C36,109:109)+100</f>
        <v>100</v>
      </c>
      <c r="I36" s="411" t="s">
        <v>3455</v>
      </c>
      <c r="J36" s="386">
        <f>SUMIF(108:108,I36,109:109)-SUMIF(108:108,C36,109:109)+100</f>
        <v>100</v>
      </c>
      <c r="K36" s="561">
        <v>1</v>
      </c>
      <c r="L36" s="2720"/>
      <c r="M36" s="2714"/>
      <c r="N36" s="2714"/>
      <c r="O36" s="2714"/>
      <c r="P36" s="3733"/>
      <c r="Q36" s="3489" t="str">
        <f t="shared" si="11"/>
        <v>公共部分装修</v>
      </c>
      <c r="R36" s="704" t="s">
        <v>14</v>
      </c>
      <c r="S36" s="705">
        <f t="shared" si="12"/>
        <v>100</v>
      </c>
      <c r="T36" s="704" t="s">
        <v>14</v>
      </c>
      <c r="U36" s="705">
        <f t="shared" si="13"/>
        <v>100</v>
      </c>
      <c r="V36" s="704" t="s">
        <v>14</v>
      </c>
      <c r="W36" s="705">
        <f t="shared" si="14"/>
        <v>100</v>
      </c>
      <c r="X36" s="3493"/>
      <c r="Y36" s="3735"/>
      <c r="Z36" s="3491" t="str">
        <f t="shared" si="15"/>
        <v>公共部分装修</v>
      </c>
      <c r="AA36" s="3490">
        <f t="shared" si="3"/>
        <v>1</v>
      </c>
      <c r="AB36" s="3490">
        <f t="shared" si="4"/>
        <v>1</v>
      </c>
      <c r="AC36" s="1961">
        <f t="shared" si="5"/>
        <v>1</v>
      </c>
    </row>
    <row r="37" spans="1:29" ht="15">
      <c r="A37" s="423"/>
      <c r="B37" s="375" t="s">
        <v>1783</v>
      </c>
      <c r="C37" s="425">
        <f>'数据-取费表'!N6</f>
        <v>0.67</v>
      </c>
      <c r="D37" s="386">
        <v>100</v>
      </c>
      <c r="E37" s="425">
        <v>0.7</v>
      </c>
      <c r="F37" s="412">
        <f>LOOKUP(E37,111:111,112:112)-LOOKUP(C37,111:111,112:112)+100</f>
        <v>102</v>
      </c>
      <c r="G37" s="425">
        <v>0.69</v>
      </c>
      <c r="H37" s="412">
        <f>LOOKUP(G37,111:111,112:112)-LOOKUP(C37,111:111,112:112)+100</f>
        <v>100</v>
      </c>
      <c r="I37" s="425">
        <v>0.69</v>
      </c>
      <c r="J37" s="386">
        <f>LOOKUP(I37,111:111,112:112)-LOOKUP(C37,111:111,112:112)+100</f>
        <v>100</v>
      </c>
      <c r="K37" s="561">
        <v>2</v>
      </c>
      <c r="L37" s="2720"/>
      <c r="M37" s="2714"/>
      <c r="N37" s="2714"/>
      <c r="O37" s="2714"/>
      <c r="P37" s="3733"/>
      <c r="Q37" s="3489" t="str">
        <f t="shared" si="11"/>
        <v>成新度</v>
      </c>
      <c r="R37" s="704" t="s">
        <v>14</v>
      </c>
      <c r="S37" s="705">
        <f t="shared" si="12"/>
        <v>102</v>
      </c>
      <c r="T37" s="704" t="s">
        <v>14</v>
      </c>
      <c r="U37" s="705">
        <f t="shared" si="13"/>
        <v>100</v>
      </c>
      <c r="V37" s="704" t="s">
        <v>14</v>
      </c>
      <c r="W37" s="705">
        <f t="shared" si="14"/>
        <v>100</v>
      </c>
      <c r="X37" s="3493"/>
      <c r="Y37" s="3735"/>
      <c r="Z37" s="3491" t="str">
        <f t="shared" si="15"/>
        <v>成新度</v>
      </c>
      <c r="AA37" s="3490">
        <f t="shared" si="3"/>
        <v>0.98039215686274506</v>
      </c>
      <c r="AB37" s="3490">
        <f t="shared" si="4"/>
        <v>1</v>
      </c>
      <c r="AC37" s="1961">
        <f t="shared" si="5"/>
        <v>1</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3"/>
      <c r="Q38" s="3488" t="str">
        <f t="shared" si="11"/>
        <v>写字楼等级</v>
      </c>
      <c r="R38" s="700" t="s">
        <v>14</v>
      </c>
      <c r="S38" s="701">
        <f t="shared" si="12"/>
        <v>100</v>
      </c>
      <c r="T38" s="700" t="s">
        <v>14</v>
      </c>
      <c r="U38" s="701">
        <f t="shared" si="13"/>
        <v>100</v>
      </c>
      <c r="V38" s="700" t="s">
        <v>14</v>
      </c>
      <c r="W38" s="701">
        <f t="shared" si="14"/>
        <v>100</v>
      </c>
      <c r="X38" s="702"/>
      <c r="Y38" s="3735"/>
      <c r="Z38" s="3487" t="str">
        <f t="shared" si="15"/>
        <v>写字楼等级</v>
      </c>
      <c r="AA38" s="703">
        <f t="shared" si="3"/>
        <v>1</v>
      </c>
      <c r="AB38" s="703">
        <f t="shared" si="4"/>
        <v>1</v>
      </c>
      <c r="AC38" s="1958">
        <f t="shared" si="5"/>
        <v>1</v>
      </c>
    </row>
    <row r="39" spans="1:29" ht="15">
      <c r="A39" s="423"/>
      <c r="B39" s="375" t="s">
        <v>1816</v>
      </c>
      <c r="C39" s="411" t="s">
        <v>3465</v>
      </c>
      <c r="D39" s="386">
        <v>100</v>
      </c>
      <c r="E39" s="411" t="s">
        <v>3465</v>
      </c>
      <c r="F39" s="412">
        <f>SUMIF(115:115,E39,116:116)-SUMIF(115:115,C39,116:116)+100</f>
        <v>100</v>
      </c>
      <c r="G39" s="411" t="s">
        <v>3465</v>
      </c>
      <c r="H39" s="386">
        <f>SUMIF(115:115,G39,116:116)-SUMIF(115:115,C39,116:116)+100</f>
        <v>100</v>
      </c>
      <c r="I39" s="411" t="s">
        <v>3465</v>
      </c>
      <c r="J39" s="386">
        <f>SUMIF(115:115,I39,116:116)-SUMIF(115:115,C39,116:116)+100</f>
        <v>100</v>
      </c>
      <c r="K39" s="561">
        <v>1</v>
      </c>
      <c r="L39" s="2720"/>
      <c r="M39" s="2714"/>
      <c r="N39" s="2714"/>
      <c r="O39" s="2714"/>
      <c r="P39" s="3733" t="s">
        <v>1693</v>
      </c>
      <c r="Q39" s="3489" t="str">
        <f t="shared" si="11"/>
        <v>物业管理</v>
      </c>
      <c r="R39" s="704" t="s">
        <v>14</v>
      </c>
      <c r="S39" s="705">
        <f t="shared" si="12"/>
        <v>100</v>
      </c>
      <c r="T39" s="704" t="s">
        <v>14</v>
      </c>
      <c r="U39" s="705">
        <f t="shared" si="13"/>
        <v>100</v>
      </c>
      <c r="V39" s="704" t="s">
        <v>14</v>
      </c>
      <c r="W39" s="705">
        <f t="shared" si="14"/>
        <v>100</v>
      </c>
      <c r="X39" s="3493"/>
      <c r="Y39" s="3735" t="s">
        <v>1693</v>
      </c>
      <c r="Z39" s="3491" t="str">
        <f t="shared" si="15"/>
        <v>物业管理</v>
      </c>
      <c r="AA39" s="3490">
        <f t="shared" si="3"/>
        <v>1</v>
      </c>
      <c r="AB39" s="3490">
        <f t="shared" si="4"/>
        <v>1</v>
      </c>
      <c r="AC39" s="1961">
        <f t="shared" si="5"/>
        <v>1</v>
      </c>
    </row>
    <row r="40" spans="1:29" ht="15" hidden="1">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3"/>
      <c r="Q40" s="3489" t="str">
        <f t="shared" si="11"/>
        <v>市政基础设施</v>
      </c>
      <c r="R40" s="704" t="s">
        <v>14</v>
      </c>
      <c r="S40" s="705">
        <f t="shared" si="12"/>
        <v>100</v>
      </c>
      <c r="T40" s="704" t="s">
        <v>14</v>
      </c>
      <c r="U40" s="705">
        <f t="shared" si="13"/>
        <v>100</v>
      </c>
      <c r="V40" s="704" t="s">
        <v>14</v>
      </c>
      <c r="W40" s="705">
        <f t="shared" si="14"/>
        <v>100</v>
      </c>
      <c r="X40" s="3493"/>
      <c r="Y40" s="3735"/>
      <c r="Z40" s="3491" t="str">
        <f t="shared" si="15"/>
        <v>市政基础设施</v>
      </c>
      <c r="AA40" s="3490">
        <f t="shared" si="3"/>
        <v>1</v>
      </c>
      <c r="AB40" s="3490">
        <f t="shared" si="4"/>
        <v>1</v>
      </c>
      <c r="AC40" s="1961">
        <f t="shared" si="5"/>
        <v>1</v>
      </c>
    </row>
    <row r="41" spans="1:29" ht="15">
      <c r="A41" s="423"/>
      <c r="B41" s="375" t="s">
        <v>1786</v>
      </c>
      <c r="C41" s="565" t="s">
        <v>3460</v>
      </c>
      <c r="D41" s="386">
        <v>100</v>
      </c>
      <c r="E41" s="565" t="s">
        <v>3460</v>
      </c>
      <c r="F41" s="412">
        <f>SUMIF(119:119,E41,120:120)-SUMIF(119:119,C41,120:120)+100</f>
        <v>100</v>
      </c>
      <c r="G41" s="565" t="s">
        <v>3460</v>
      </c>
      <c r="H41" s="386">
        <f>SUMIF(119:119,G41,120:120)-SUMIF(119:119,C41,120:120)+100</f>
        <v>100</v>
      </c>
      <c r="I41" s="565" t="s">
        <v>3460</v>
      </c>
      <c r="J41" s="386">
        <f>SUMIF(119:119,I41,120:120)-SUMIF(119:119,C41,120:120)+100</f>
        <v>100</v>
      </c>
      <c r="K41" s="561">
        <v>2</v>
      </c>
      <c r="L41" s="2720"/>
      <c r="M41" s="2714"/>
      <c r="N41" s="2714"/>
      <c r="O41" s="2714"/>
      <c r="P41" s="3733"/>
      <c r="Q41" s="3489" t="str">
        <f t="shared" si="11"/>
        <v>层高</v>
      </c>
      <c r="R41" s="704" t="s">
        <v>14</v>
      </c>
      <c r="S41" s="705">
        <f t="shared" si="12"/>
        <v>100</v>
      </c>
      <c r="T41" s="704" t="s">
        <v>14</v>
      </c>
      <c r="U41" s="705">
        <f t="shared" si="13"/>
        <v>100</v>
      </c>
      <c r="V41" s="704" t="s">
        <v>14</v>
      </c>
      <c r="W41" s="705">
        <f t="shared" si="14"/>
        <v>100</v>
      </c>
      <c r="X41" s="3493"/>
      <c r="Y41" s="3735"/>
      <c r="Z41" s="3491" t="str">
        <f t="shared" si="15"/>
        <v>层高</v>
      </c>
      <c r="AA41" s="3490">
        <f t="shared" si="3"/>
        <v>1</v>
      </c>
      <c r="AB41" s="3490">
        <f t="shared" si="4"/>
        <v>1</v>
      </c>
      <c r="AC41" s="1961">
        <f t="shared" si="5"/>
        <v>1</v>
      </c>
    </row>
    <row r="42" spans="1:29" s="422" customFormat="1" ht="15" hidden="1">
      <c r="A42" s="419"/>
      <c r="B42" s="349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3"/>
      <c r="Q42" s="706" t="str">
        <f t="shared" si="11"/>
        <v>单套建筑面积</v>
      </c>
      <c r="R42" s="707" t="s">
        <v>14</v>
      </c>
      <c r="S42" s="708">
        <f t="shared" si="12"/>
        <v>100</v>
      </c>
      <c r="T42" s="707" t="s">
        <v>14</v>
      </c>
      <c r="U42" s="708">
        <f t="shared" si="13"/>
        <v>100</v>
      </c>
      <c r="V42" s="707" t="s">
        <v>14</v>
      </c>
      <c r="W42" s="708">
        <f t="shared" si="14"/>
        <v>100</v>
      </c>
      <c r="X42" s="709"/>
      <c r="Y42" s="3735"/>
      <c r="Z42" s="710" t="str">
        <f t="shared" si="15"/>
        <v>单套建筑面积</v>
      </c>
      <c r="AA42" s="3490">
        <f t="shared" si="3"/>
        <v>1</v>
      </c>
      <c r="AB42" s="3490">
        <f t="shared" si="4"/>
        <v>1</v>
      </c>
      <c r="AC42" s="1961">
        <f t="shared" si="5"/>
        <v>1</v>
      </c>
    </row>
    <row r="43" spans="1:29" ht="15">
      <c r="A43" s="423"/>
      <c r="B43" s="375" t="s">
        <v>1789</v>
      </c>
      <c r="C43" s="411" t="s">
        <v>3505</v>
      </c>
      <c r="D43" s="386">
        <v>100</v>
      </c>
      <c r="E43" s="411" t="s">
        <v>3505</v>
      </c>
      <c r="F43" s="412">
        <f>SUMIF(123:123,E43,124:124)-SUMIF(123:123,C43,124:124)+100</f>
        <v>100</v>
      </c>
      <c r="G43" s="411" t="s">
        <v>3505</v>
      </c>
      <c r="H43" s="386">
        <f>SUMIF(123:123,G43,124:124)-SUMIF(123:123,C43,124:124)+100</f>
        <v>100</v>
      </c>
      <c r="I43" s="411" t="s">
        <v>3505</v>
      </c>
      <c r="J43" s="386">
        <f>SUMIF(123:123,I43,124:124)-SUMIF(123:123,C43,124:124)+100</f>
        <v>100</v>
      </c>
      <c r="K43" s="561">
        <v>1</v>
      </c>
      <c r="L43" s="2720"/>
      <c r="M43" s="2714"/>
      <c r="N43" s="2714"/>
      <c r="O43" s="2714"/>
      <c r="P43" s="3733"/>
      <c r="Q43" s="3489" t="str">
        <f t="shared" si="11"/>
        <v>内部装修</v>
      </c>
      <c r="R43" s="704" t="s">
        <v>14</v>
      </c>
      <c r="S43" s="705">
        <f t="shared" si="12"/>
        <v>100</v>
      </c>
      <c r="T43" s="704" t="s">
        <v>14</v>
      </c>
      <c r="U43" s="705">
        <f t="shared" si="13"/>
        <v>100</v>
      </c>
      <c r="V43" s="704" t="s">
        <v>14</v>
      </c>
      <c r="W43" s="705">
        <f t="shared" si="14"/>
        <v>100</v>
      </c>
      <c r="X43" s="3493"/>
      <c r="Y43" s="3735"/>
      <c r="Z43" s="3491" t="str">
        <f t="shared" si="15"/>
        <v>内部装修</v>
      </c>
      <c r="AA43" s="3490">
        <f t="shared" si="3"/>
        <v>1</v>
      </c>
      <c r="AB43" s="3490">
        <f t="shared" si="4"/>
        <v>1</v>
      </c>
      <c r="AC43" s="1961">
        <f t="shared" si="5"/>
        <v>1</v>
      </c>
    </row>
    <row r="44" spans="1:29" ht="15">
      <c r="A44" s="423"/>
      <c r="B44" s="375" t="s">
        <v>1704</v>
      </c>
      <c r="C44" s="411" t="s">
        <v>3469</v>
      </c>
      <c r="D44" s="386">
        <v>100</v>
      </c>
      <c r="E44" s="411" t="s">
        <v>3469</v>
      </c>
      <c r="F44" s="412">
        <f>SUMIF(125:125,E44,126:126)-SUMIF(125:125,C44,126:126)+100</f>
        <v>100</v>
      </c>
      <c r="G44" s="411" t="s">
        <v>3469</v>
      </c>
      <c r="H44" s="386">
        <f>SUMIF(125:125,G44,126:126)-SUMIF(125:125,C44,126:126)+100</f>
        <v>100</v>
      </c>
      <c r="I44" s="411" t="s">
        <v>3469</v>
      </c>
      <c r="J44" s="386">
        <f>SUMIF(125:125,I44,126:126)-SUMIF(125:125,C44,126:126)+100</f>
        <v>100</v>
      </c>
      <c r="K44" s="561">
        <v>1</v>
      </c>
      <c r="L44" s="2720"/>
      <c r="M44" s="2714"/>
      <c r="N44" s="2714"/>
      <c r="O44" s="2714"/>
      <c r="P44" s="3733"/>
      <c r="Q44" s="3489" t="str">
        <f t="shared" si="11"/>
        <v>内部装修维护情况</v>
      </c>
      <c r="R44" s="704" t="s">
        <v>14</v>
      </c>
      <c r="S44" s="705">
        <f t="shared" si="12"/>
        <v>100</v>
      </c>
      <c r="T44" s="704" t="s">
        <v>14</v>
      </c>
      <c r="U44" s="705">
        <f t="shared" si="13"/>
        <v>100</v>
      </c>
      <c r="V44" s="704" t="s">
        <v>14</v>
      </c>
      <c r="W44" s="705">
        <f t="shared" si="14"/>
        <v>100</v>
      </c>
      <c r="X44" s="3493"/>
      <c r="Y44" s="3735"/>
      <c r="Z44" s="3491" t="str">
        <f t="shared" si="15"/>
        <v>内部装修维护情况</v>
      </c>
      <c r="AA44" s="3490">
        <f t="shared" si="3"/>
        <v>1</v>
      </c>
      <c r="AB44" s="3490">
        <f t="shared" si="4"/>
        <v>1</v>
      </c>
      <c r="AC44" s="1961">
        <f t="shared" si="5"/>
        <v>1</v>
      </c>
    </row>
    <row r="45" spans="1:29" s="108" customFormat="1" ht="15">
      <c r="A45" s="424"/>
      <c r="B45" s="3495" t="s">
        <v>3485</v>
      </c>
      <c r="C45" s="420">
        <f>'数据-取费表'!N18</f>
        <v>1997</v>
      </c>
      <c r="D45" s="127">
        <v>100</v>
      </c>
      <c r="E45" s="383" t="s">
        <v>3490</v>
      </c>
      <c r="F45" s="376">
        <f>SUMIF(127:127,E45,128:128)-SUMIF(127:127,C45,128:128)+100</f>
        <v>100</v>
      </c>
      <c r="G45" s="383">
        <v>2000</v>
      </c>
      <c r="H45" s="127">
        <f>SUMIF(127:127,G45,128:128)-SUMIF(127:127,C45,128:128)+100</f>
        <v>100</v>
      </c>
      <c r="I45" s="383">
        <v>1999</v>
      </c>
      <c r="J45" s="127">
        <f>SUMIF(127:127,I45,128:128)-SUMIF(127:127,C45,128:128)+100</f>
        <v>100</v>
      </c>
      <c r="K45" s="562"/>
      <c r="L45" s="2715"/>
      <c r="M45" s="2716"/>
      <c r="N45" s="2716"/>
      <c r="O45" s="2716"/>
      <c r="P45" s="3733"/>
      <c r="Q45" s="3488" t="str">
        <f t="shared" si="11"/>
        <v>建成年代</v>
      </c>
      <c r="R45" s="700" t="s">
        <v>14</v>
      </c>
      <c r="S45" s="701">
        <f t="shared" si="12"/>
        <v>100</v>
      </c>
      <c r="T45" s="700" t="s">
        <v>14</v>
      </c>
      <c r="U45" s="701">
        <f t="shared" si="13"/>
        <v>100</v>
      </c>
      <c r="V45" s="700" t="s">
        <v>14</v>
      </c>
      <c r="W45" s="701">
        <f t="shared" si="14"/>
        <v>100</v>
      </c>
      <c r="X45" s="702"/>
      <c r="Y45" s="3735"/>
      <c r="Z45" s="3487" t="str">
        <f t="shared" si="15"/>
        <v>建成年代</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3"/>
      <c r="Q46" s="3489">
        <f t="shared" si="11"/>
        <v>111</v>
      </c>
      <c r="R46" s="704" t="s">
        <v>14</v>
      </c>
      <c r="S46" s="705">
        <f t="shared" si="12"/>
        <v>100</v>
      </c>
      <c r="T46" s="704" t="s">
        <v>14</v>
      </c>
      <c r="U46" s="705">
        <f t="shared" si="13"/>
        <v>100</v>
      </c>
      <c r="V46" s="704" t="s">
        <v>14</v>
      </c>
      <c r="W46" s="705">
        <f t="shared" si="14"/>
        <v>100</v>
      </c>
      <c r="X46" s="3493"/>
      <c r="Y46" s="3735"/>
      <c r="Z46" s="3491">
        <f t="shared" si="15"/>
        <v>111</v>
      </c>
      <c r="AA46" s="3490">
        <f t="shared" si="3"/>
        <v>1</v>
      </c>
      <c r="AB46" s="3490">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4"/>
      <c r="Q47" s="3489">
        <f t="shared" si="11"/>
        <v>111</v>
      </c>
      <c r="R47" s="704" t="s">
        <v>14</v>
      </c>
      <c r="S47" s="705">
        <f t="shared" si="12"/>
        <v>100</v>
      </c>
      <c r="T47" s="704" t="s">
        <v>14</v>
      </c>
      <c r="U47" s="705">
        <f t="shared" si="13"/>
        <v>100</v>
      </c>
      <c r="V47" s="704" t="s">
        <v>14</v>
      </c>
      <c r="W47" s="705">
        <f t="shared" si="14"/>
        <v>100</v>
      </c>
      <c r="X47" s="3493"/>
      <c r="Y47" s="3736"/>
      <c r="Z47" s="3491">
        <f t="shared" si="15"/>
        <v>111</v>
      </c>
      <c r="AA47" s="3490">
        <f t="shared" si="3"/>
        <v>1</v>
      </c>
      <c r="AB47" s="3490">
        <f t="shared" si="4"/>
        <v>1</v>
      </c>
      <c r="AC47" s="1961">
        <f t="shared" si="5"/>
        <v>1</v>
      </c>
    </row>
    <row r="48" spans="1:29" ht="15">
      <c r="A48" s="430" t="s">
        <v>1705</v>
      </c>
      <c r="B48" s="431"/>
      <c r="C48" s="1153" t="s">
        <v>0</v>
      </c>
      <c r="D48" s="1154"/>
      <c r="E48" s="1155">
        <v>7</v>
      </c>
      <c r="F48" s="1156"/>
      <c r="G48" s="1157">
        <v>7</v>
      </c>
      <c r="H48" s="1158"/>
      <c r="I48" s="1155">
        <v>7</v>
      </c>
      <c r="J48" s="436"/>
      <c r="K48" s="713"/>
      <c r="L48" s="2722"/>
      <c r="M48" s="2714"/>
      <c r="N48" s="2714"/>
      <c r="O48" s="2714"/>
      <c r="P48" s="3708" t="str">
        <f>A48</f>
        <v>成交单价（元/平方米）</v>
      </c>
      <c r="Q48" s="3737"/>
      <c r="R48" s="3738">
        <f>E48</f>
        <v>7</v>
      </c>
      <c r="S48" s="3738"/>
      <c r="T48" s="3738">
        <f>G48</f>
        <v>7</v>
      </c>
      <c r="U48" s="3738"/>
      <c r="V48" s="3738">
        <f>I48</f>
        <v>7</v>
      </c>
      <c r="W48" s="3738"/>
      <c r="X48" s="397"/>
      <c r="Y48" s="711"/>
      <c r="Z48" s="397"/>
      <c r="AA48" s="397"/>
      <c r="AB48" s="397"/>
      <c r="AC48" s="578"/>
    </row>
    <row r="49" spans="1:29" ht="15.75" thickBot="1">
      <c r="A49" s="437" t="s">
        <v>1706</v>
      </c>
      <c r="B49" s="438"/>
      <c r="C49" s="1159">
        <f>R50</f>
        <v>6.8</v>
      </c>
      <c r="D49" s="2316" t="s">
        <v>2134</v>
      </c>
      <c r="E49" s="1160">
        <f>R49</f>
        <v>6.7</v>
      </c>
      <c r="F49" s="2317"/>
      <c r="G49" s="1159">
        <f>T49</f>
        <v>7</v>
      </c>
      <c r="H49" s="2317"/>
      <c r="I49" s="1160">
        <f>V49</f>
        <v>6.8</v>
      </c>
      <c r="J49" s="2317"/>
      <c r="K49" s="2319">
        <f>F49+H49+J49</f>
        <v>0</v>
      </c>
      <c r="L49" s="2722"/>
      <c r="M49" s="2714"/>
      <c r="N49" s="2714"/>
      <c r="O49" s="2714"/>
      <c r="P49" s="3708" t="str">
        <f>A49</f>
        <v>比较价值（元/平方米）</v>
      </c>
      <c r="Q49" s="3737"/>
      <c r="R49" s="3738">
        <f>IF(F1="售价",ROUND(PRODUCT(R48,AA7:AA47),0),ROUND(PRODUCT(R48,AA7:AA47),1))</f>
        <v>6.7</v>
      </c>
      <c r="S49" s="3738"/>
      <c r="T49" s="3738">
        <f>IF(F1="售价",ROUND(PRODUCT(T48,AB7:AB47),0),ROUND(PRODUCT(T48,AB7:AB47),1))</f>
        <v>7</v>
      </c>
      <c r="U49" s="3738"/>
      <c r="V49" s="3738">
        <f>IF(F1="售价",ROUND(PRODUCT(V48,AC7:AC47),0),ROUND(PRODUCT(V48,AC7:AC47),1))</f>
        <v>6.8</v>
      </c>
      <c r="W49" s="3738"/>
      <c r="X49" s="397"/>
      <c r="Y49" s="397"/>
      <c r="Z49" s="397"/>
      <c r="AA49" s="397"/>
      <c r="AB49" s="397"/>
      <c r="AC49" s="578"/>
    </row>
    <row r="50" spans="1:29" ht="15.75" thickBot="1">
      <c r="A50" s="441" t="s">
        <v>1707</v>
      </c>
      <c r="B50" s="442"/>
      <c r="C50" s="1162">
        <f>R50</f>
        <v>6.8</v>
      </c>
      <c r="D50" s="1162"/>
      <c r="E50" s="1162"/>
      <c r="F50" s="1162"/>
      <c r="G50" s="1162"/>
      <c r="H50" s="1162"/>
      <c r="I50" s="1162"/>
      <c r="J50" s="443"/>
      <c r="K50" s="714"/>
      <c r="L50" s="2722"/>
      <c r="M50" s="2714"/>
      <c r="N50" s="2714"/>
      <c r="O50" s="2714"/>
      <c r="P50" s="3739" t="str">
        <f>A50</f>
        <v>估价对象XX用房的比较价值（楼面单价，元/平方米）</v>
      </c>
      <c r="Q50" s="3740"/>
      <c r="R50" s="3741">
        <f>IF(F1="售价",ROUND(IF(D49="简单平均",AVERAGE(R49:V49),R49*F49+T49*H49+V49*J49),0),ROUND(IF(D49="简单平均",AVERAGE(R49:V49),R49*F49+T49*H49+V49*J49),1))</f>
        <v>6.8</v>
      </c>
      <c r="S50" s="3741"/>
      <c r="T50" s="3741"/>
      <c r="U50" s="3741"/>
      <c r="V50" s="3741"/>
      <c r="W50" s="3741"/>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1708</v>
      </c>
      <c r="D53" s="447"/>
      <c r="E53" s="448">
        <f>IF(E48&lt;E49,E49/E48-1,E48/E49-1)</f>
        <v>4.4776119402984982E-2</v>
      </c>
      <c r="F53" s="449" t="str">
        <f>IF(OR(E53&gt;=0.3,E53&lt;=-0.3),"超过30%","")</f>
        <v/>
      </c>
      <c r="G53" s="448">
        <f>IF(G48&lt;G49,G49/G48-1,G48/G49-1)</f>
        <v>0</v>
      </c>
      <c r="H53" s="449" t="str">
        <f>IF(OR(G53&gt;=0.3,G53&lt;=-0.3),"超过30%","")</f>
        <v/>
      </c>
      <c r="I53" s="448">
        <f>IF(I48&lt;I49,I49/I48-1,I48/I49-1)</f>
        <v>2.941176470588247E-2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1709</v>
      </c>
      <c r="D54" s="450"/>
      <c r="E54" s="448">
        <f>IF(E49&lt;G49,G49/E49-1,E49/G49-1)</f>
        <v>4.4776119402984982E-2</v>
      </c>
      <c r="F54" s="449" t="str">
        <f>IF(OR(E54&gt;=0.2,E54&lt;=-0.2),"超过20%","")</f>
        <v/>
      </c>
      <c r="G54" s="448">
        <f>IF(G49&lt;I49,I49/G49-1,G49/I49-1)</f>
        <v>2.941176470588247E-2</v>
      </c>
      <c r="H54" s="449" t="str">
        <f>IF(OR(G54&gt;=0.2,G54&lt;=-0.2),"超过20%","")</f>
        <v/>
      </c>
      <c r="I54" s="448">
        <f>IF(I49&lt;E49,E49/I49-1,I49/E49-1)</f>
        <v>1.4925373134328401E-2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1710</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1711</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1678</v>
      </c>
      <c r="B62" s="459"/>
      <c r="C62" s="471" t="s">
        <v>1715</v>
      </c>
      <c r="D62" s="3478" t="s">
        <v>3441</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1716</v>
      </c>
      <c r="B64" s="477" t="s">
        <v>1682</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t="s">
        <v>3443</v>
      </c>
      <c r="D66" s="532" t="s">
        <v>3444</v>
      </c>
      <c r="E66" s="532" t="s">
        <v>3445</v>
      </c>
      <c r="F66" s="532" t="s">
        <v>3446</v>
      </c>
      <c r="G66" s="532" t="s">
        <v>3447</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97</v>
      </c>
      <c r="E78" s="493">
        <f>D78-$K15</f>
        <v>94</v>
      </c>
      <c r="F78" s="493">
        <f>E78-$K15</f>
        <v>91</v>
      </c>
      <c r="G78" s="493">
        <f>F78-$K15</f>
        <v>88</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80" t="s">
        <v>3448</v>
      </c>
      <c r="D89" s="3480" t="s">
        <v>3449</v>
      </c>
      <c r="E89" s="3480" t="s">
        <v>3451</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3481" t="s">
        <v>3453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1734</v>
      </c>
      <c r="C103" s="527" t="str">
        <f>C104&amp;"(含)"&amp;"-"&amp;D104</f>
        <v>0(含)-300</v>
      </c>
      <c r="D103" s="527" t="str">
        <f t="shared" ref="D103:L103" si="24">D104&amp;"(含)"&amp;"-"&amp;E104</f>
        <v>300(含)-500</v>
      </c>
      <c r="E103" s="527" t="str">
        <f t="shared" si="24"/>
        <v>500(含)-800</v>
      </c>
      <c r="F103" s="527" t="str">
        <f t="shared" si="24"/>
        <v>800(含)-1000</v>
      </c>
      <c r="G103" s="527" t="str">
        <f t="shared" si="24"/>
        <v>1000(含)-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v>97</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3480" t="s">
        <v>3454</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3480" t="s">
        <v>3456</v>
      </c>
      <c r="D108" s="3480" t="s">
        <v>3457</v>
      </c>
      <c r="E108" s="3480" t="s">
        <v>3458</v>
      </c>
      <c r="F108" s="3482" t="s">
        <v>3459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3480" t="s">
        <v>3468</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3480" t="s">
        <v>3466</v>
      </c>
      <c r="D115" s="3480" t="s">
        <v>3467</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3480" t="s">
        <v>3462</v>
      </c>
      <c r="D117" s="3480" t="s">
        <v>3463</v>
      </c>
      <c r="E117" s="3480" t="s">
        <v>3464</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3482" t="s">
        <v>3461</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3480" t="s">
        <v>3456</v>
      </c>
      <c r="D123" s="3480" t="s">
        <v>3457</v>
      </c>
      <c r="E123" s="3480" t="s">
        <v>3458</v>
      </c>
      <c r="F123" s="3482" t="s">
        <v>3459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建成年代</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2431</v>
      </c>
      <c r="B1" s="2830"/>
      <c r="C1" s="2842"/>
      <c r="D1" s="2842"/>
      <c r="E1" s="2831"/>
      <c r="F1" s="2832"/>
      <c r="G1" s="2833"/>
      <c r="J1" s="2836" t="s">
        <v>2310</v>
      </c>
      <c r="K1" s="2837"/>
      <c r="L1" s="2837"/>
      <c r="M1" s="2837"/>
      <c r="N1" s="2837"/>
      <c r="O1" s="2837"/>
      <c r="P1" s="2837"/>
      <c r="Q1" s="2837"/>
      <c r="R1" s="2838"/>
      <c r="S1" s="2839"/>
      <c r="T1" s="2839"/>
      <c r="U1" s="2839"/>
    </row>
    <row r="2" spans="1:22" s="2851" customFormat="1" ht="13.15" customHeight="1">
      <c r="A2" s="1384" t="s">
        <v>2311</v>
      </c>
      <c r="B2" s="2841" t="e">
        <f>IF(D2="——",C40,C40+E2)</f>
        <v>#DIV/0!</v>
      </c>
      <c r="C2" s="2842" t="s">
        <v>2312</v>
      </c>
      <c r="D2" s="3441" t="s">
        <v>3353</v>
      </c>
      <c r="E2" s="3442"/>
      <c r="F2" s="2844"/>
      <c r="G2" s="2845"/>
      <c r="H2" s="2846"/>
      <c r="I2" s="2847"/>
      <c r="J2" s="3742" t="s">
        <v>2313</v>
      </c>
      <c r="K2" s="3743"/>
      <c r="L2" s="2848" t="s">
        <v>2314</v>
      </c>
      <c r="M2" s="2848" t="s">
        <v>2315</v>
      </c>
      <c r="N2" s="2848" t="s">
        <v>2316</v>
      </c>
      <c r="O2" s="2848" t="s">
        <v>2317</v>
      </c>
      <c r="P2" s="2848" t="s">
        <v>2318</v>
      </c>
      <c r="Q2" s="2849" t="s">
        <v>2319</v>
      </c>
      <c r="R2" s="2850" t="s">
        <v>2320</v>
      </c>
      <c r="S2" s="2839"/>
      <c r="T2" s="2839"/>
      <c r="U2" s="2839"/>
      <c r="V2" s="2847"/>
    </row>
    <row r="3" spans="1:22" s="2851" customFormat="1" ht="13.15" customHeight="1">
      <c r="A3" s="2852" t="s">
        <v>2321</v>
      </c>
      <c r="B3" s="2853" t="e">
        <f>ROUND(B2*10000/B4,0)</f>
        <v>#DIV/0!</v>
      </c>
      <c r="C3" s="2842" t="s">
        <v>2322</v>
      </c>
      <c r="D3" s="2842"/>
      <c r="E3" s="2843"/>
      <c r="F3" s="2844"/>
      <c r="G3" s="2845"/>
      <c r="H3" s="2846"/>
      <c r="I3" s="2847"/>
      <c r="J3" s="3744" t="s">
        <v>2323</v>
      </c>
      <c r="K3" s="3745"/>
      <c r="L3" s="2854"/>
      <c r="M3" s="2854"/>
      <c r="N3" s="2854"/>
      <c r="O3" s="2854"/>
      <c r="P3" s="2854"/>
      <c r="Q3" s="2855"/>
      <c r="R3" s="2856">
        <f>SUM(L3:Q3)</f>
        <v>0</v>
      </c>
      <c r="S3" s="2839"/>
      <c r="T3" s="2839"/>
      <c r="U3" s="2839"/>
      <c r="V3" s="2847"/>
    </row>
    <row r="4" spans="1:22" s="2851" customFormat="1" ht="13.15" customHeight="1">
      <c r="A4" s="2857" t="s">
        <v>2324</v>
      </c>
      <c r="B4" s="2858"/>
      <c r="C4" s="2842"/>
      <c r="D4" s="2842"/>
      <c r="E4" s="2843"/>
      <c r="F4" s="2844"/>
      <c r="G4" s="2845"/>
      <c r="H4" s="2846"/>
      <c r="I4" s="2847"/>
      <c r="J4" s="3744" t="s">
        <v>2325</v>
      </c>
      <c r="K4" s="3745"/>
      <c r="L4" s="2859"/>
      <c r="M4" s="2859"/>
      <c r="N4" s="2859"/>
      <c r="O4" s="2859"/>
      <c r="P4" s="2859"/>
      <c r="Q4" s="2860"/>
      <c r="R4" s="2861">
        <f>SUM(L4:Q4)</f>
        <v>0</v>
      </c>
      <c r="S4" s="2839"/>
      <c r="T4" s="2839"/>
      <c r="U4" s="2839"/>
      <c r="V4" s="2847"/>
    </row>
    <row r="5" spans="1:22" s="2851" customFormat="1" ht="13.15" customHeight="1" thickBot="1">
      <c r="A5" s="2862" t="s">
        <v>2326</v>
      </c>
      <c r="B5" s="2863"/>
      <c r="C5" s="2842"/>
      <c r="D5" s="2864"/>
      <c r="E5" s="2844"/>
      <c r="F5" s="2844"/>
      <c r="G5" s="2845"/>
      <c r="H5" s="2846"/>
      <c r="I5" s="2847"/>
      <c r="J5" s="2865" t="s">
        <v>2327</v>
      </c>
      <c r="K5" s="2866"/>
      <c r="L5" s="2866"/>
      <c r="M5" s="2867"/>
      <c r="N5" s="2867"/>
      <c r="O5" s="2867"/>
      <c r="P5" s="2867"/>
      <c r="Q5" s="2867"/>
      <c r="R5" s="2850">
        <f>SUM(R14,R19,R24,R25,R27,R28)</f>
        <v>0</v>
      </c>
      <c r="S5" s="2839"/>
      <c r="T5" s="2839" t="s">
        <v>2328</v>
      </c>
      <c r="U5" s="2839" t="e">
        <f>ROUND(R5*10000/365/R3,1)</f>
        <v>#DIV/0!</v>
      </c>
      <c r="V5" s="2847"/>
    </row>
    <row r="6" spans="1:22" s="2851" customFormat="1" ht="13.15" customHeight="1" thickBot="1">
      <c r="A6" s="3746" t="s">
        <v>2329</v>
      </c>
      <c r="B6" s="3747"/>
      <c r="C6" s="3748"/>
      <c r="D6" s="2868"/>
      <c r="E6" s="2869"/>
      <c r="F6" s="2870"/>
      <c r="G6" s="2871"/>
      <c r="H6" s="2846"/>
      <c r="I6" s="2847"/>
      <c r="J6" s="3749">
        <v>1</v>
      </c>
      <c r="K6" s="3750" t="s">
        <v>2330</v>
      </c>
      <c r="L6" s="2872" t="s">
        <v>2331</v>
      </c>
      <c r="M6" s="2873" t="s">
        <v>2332</v>
      </c>
      <c r="N6" s="2873" t="s">
        <v>2333</v>
      </c>
      <c r="O6" s="2873" t="s">
        <v>2334</v>
      </c>
      <c r="P6" s="2873" t="s">
        <v>2335</v>
      </c>
      <c r="Q6" s="2873" t="s">
        <v>2336</v>
      </c>
      <c r="R6" s="2856" t="s">
        <v>2337</v>
      </c>
      <c r="S6" s="2839"/>
      <c r="T6" s="2839" t="s">
        <v>2338</v>
      </c>
      <c r="U6" s="2839"/>
      <c r="V6" s="2847"/>
    </row>
    <row r="7" spans="1:22" s="2851" customFormat="1" ht="13.15" customHeight="1">
      <c r="A7" s="2874" t="s">
        <v>2339</v>
      </c>
      <c r="B7" s="2875"/>
      <c r="C7" s="2876"/>
      <c r="D7" s="2877">
        <f>SUM(D9,D10,D11,D17,0)</f>
        <v>0</v>
      </c>
      <c r="E7" s="2878" t="e">
        <f>E9+E10+E11+E17</f>
        <v>#DIV/0!</v>
      </c>
      <c r="F7" s="2879"/>
      <c r="G7" s="2880"/>
      <c r="H7" s="2846"/>
      <c r="I7" s="2847"/>
      <c r="J7" s="3749"/>
      <c r="K7" s="3751"/>
      <c r="L7" s="2881" t="s">
        <v>2340</v>
      </c>
      <c r="M7" s="2882"/>
      <c r="N7" s="2858"/>
      <c r="O7" s="2883"/>
      <c r="P7" s="2883"/>
      <c r="Q7" s="2884">
        <v>365</v>
      </c>
      <c r="R7" s="2885">
        <f>ROUND(M7*N7*O7*P7*Q7/10000,0)</f>
        <v>0</v>
      </c>
      <c r="S7" s="2839"/>
      <c r="T7" s="2839" t="s">
        <v>2341</v>
      </c>
      <c r="U7" s="2839"/>
      <c r="V7" s="2847"/>
    </row>
    <row r="8" spans="1:22" s="2851" customFormat="1" ht="13.15" customHeight="1">
      <c r="A8" s="2886" t="s">
        <v>2342</v>
      </c>
      <c r="B8" s="3753" t="s">
        <v>2343</v>
      </c>
      <c r="C8" s="3754"/>
      <c r="D8" s="2887" t="s">
        <v>2344</v>
      </c>
      <c r="E8" s="2888" t="s">
        <v>2345</v>
      </c>
      <c r="F8" s="2889" t="s">
        <v>2346</v>
      </c>
      <c r="G8" s="2890"/>
      <c r="H8" s="2846"/>
      <c r="I8" s="2847"/>
      <c r="J8" s="3749"/>
      <c r="K8" s="3751"/>
      <c r="L8" s="2881" t="s">
        <v>2347</v>
      </c>
      <c r="M8" s="2882"/>
      <c r="N8" s="2858"/>
      <c r="O8" s="2883"/>
      <c r="P8" s="2883"/>
      <c r="Q8" s="2884">
        <v>365</v>
      </c>
      <c r="R8" s="2885">
        <f t="shared" ref="R8:R13" si="0">ROUND(M8*N8*O8*P8*Q8/10000,0)</f>
        <v>0</v>
      </c>
      <c r="S8" s="2839"/>
      <c r="T8" s="2839" t="s">
        <v>2348</v>
      </c>
      <c r="U8" s="2839"/>
      <c r="V8" s="2847"/>
    </row>
    <row r="9" spans="1:22" s="2851" customFormat="1" ht="13.15" customHeight="1">
      <c r="A9" s="2886">
        <v>1</v>
      </c>
      <c r="B9" s="3753" t="s">
        <v>2349</v>
      </c>
      <c r="C9" s="3754"/>
      <c r="D9" s="2887">
        <f>ROUND(D6*E9,0)</f>
        <v>0</v>
      </c>
      <c r="E9" s="2891"/>
      <c r="F9" s="2892" t="s">
        <v>2350</v>
      </c>
      <c r="G9" s="2871"/>
      <c r="H9" s="2846"/>
      <c r="I9" s="2847"/>
      <c r="J9" s="3749"/>
      <c r="K9" s="3751"/>
      <c r="L9" s="2881" t="s">
        <v>2351</v>
      </c>
      <c r="M9" s="2882"/>
      <c r="N9" s="2858"/>
      <c r="O9" s="2883"/>
      <c r="P9" s="2883"/>
      <c r="Q9" s="2884">
        <v>365</v>
      </c>
      <c r="R9" s="2885">
        <f t="shared" si="0"/>
        <v>0</v>
      </c>
      <c r="S9" s="2839"/>
      <c r="T9" s="2839"/>
      <c r="U9" s="2839"/>
      <c r="V9" s="2847"/>
    </row>
    <row r="10" spans="1:22" s="2851" customFormat="1" ht="13.15" customHeight="1">
      <c r="A10" s="2886">
        <v>2</v>
      </c>
      <c r="B10" s="3753" t="s">
        <v>2352</v>
      </c>
      <c r="C10" s="3754"/>
      <c r="D10" s="2887">
        <f>ROUND(D6*E10,0)</f>
        <v>0</v>
      </c>
      <c r="E10" s="2891"/>
      <c r="F10" s="2892" t="s">
        <v>2353</v>
      </c>
      <c r="G10" s="2871"/>
      <c r="H10" s="2846"/>
      <c r="I10" s="2847"/>
      <c r="J10" s="3749"/>
      <c r="K10" s="3751"/>
      <c r="L10" s="2881" t="s">
        <v>2354</v>
      </c>
      <c r="M10" s="2882"/>
      <c r="N10" s="2858"/>
      <c r="O10" s="2883"/>
      <c r="P10" s="2883"/>
      <c r="Q10" s="2884">
        <v>365</v>
      </c>
      <c r="R10" s="2885">
        <f t="shared" si="0"/>
        <v>0</v>
      </c>
      <c r="S10" s="2839"/>
      <c r="T10" s="2839"/>
      <c r="U10" s="2839"/>
      <c r="V10" s="2847"/>
    </row>
    <row r="11" spans="1:22" s="2851" customFormat="1" ht="13.15" customHeight="1">
      <c r="A11" s="2886">
        <v>3</v>
      </c>
      <c r="B11" s="3753" t="s">
        <v>2355</v>
      </c>
      <c r="C11" s="3754"/>
      <c r="D11" s="2887">
        <f>D12+D14+D15+D16</f>
        <v>0</v>
      </c>
      <c r="E11" s="2893" t="e">
        <f>D11/D6</f>
        <v>#DIV/0!</v>
      </c>
      <c r="F11" s="2889"/>
      <c r="G11" s="2890"/>
      <c r="H11" s="2846"/>
      <c r="I11" s="2847"/>
      <c r="J11" s="3749"/>
      <c r="K11" s="3751"/>
      <c r="L11" s="2881" t="s">
        <v>2356</v>
      </c>
      <c r="M11" s="2882"/>
      <c r="N11" s="2858"/>
      <c r="O11" s="2883"/>
      <c r="P11" s="2883"/>
      <c r="Q11" s="2884">
        <v>365</v>
      </c>
      <c r="R11" s="2885">
        <f t="shared" si="0"/>
        <v>0</v>
      </c>
      <c r="S11" s="2839"/>
      <c r="T11" s="2839"/>
      <c r="U11" s="2839"/>
      <c r="V11" s="2847"/>
    </row>
    <row r="12" spans="1:22" s="2851" customFormat="1" ht="13.15" customHeight="1">
      <c r="A12" s="2894" t="s">
        <v>2357</v>
      </c>
      <c r="B12" s="3755" t="s">
        <v>2358</v>
      </c>
      <c r="C12" s="3756"/>
      <c r="D12" s="2895">
        <f>ROUND(D13*1.2%*(1-30%),0)</f>
        <v>0</v>
      </c>
      <c r="E12" s="2896">
        <v>1.2E-2</v>
      </c>
      <c r="F12" s="2889" t="s">
        <v>2359</v>
      </c>
      <c r="G12" s="2890"/>
      <c r="H12" s="2846"/>
      <c r="I12" s="2847"/>
      <c r="J12" s="3749"/>
      <c r="K12" s="3751"/>
      <c r="L12" s="2881" t="s">
        <v>2360</v>
      </c>
      <c r="M12" s="2882"/>
      <c r="N12" s="2858"/>
      <c r="O12" s="2883"/>
      <c r="P12" s="2883"/>
      <c r="Q12" s="2884">
        <v>365</v>
      </c>
      <c r="R12" s="2885">
        <f t="shared" si="0"/>
        <v>0</v>
      </c>
      <c r="S12" s="2839"/>
      <c r="T12" s="2839"/>
      <c r="U12" s="2839"/>
      <c r="V12" s="2847"/>
    </row>
    <row r="13" spans="1:22" s="2851" customFormat="1" ht="13.15" customHeight="1">
      <c r="A13" s="2894"/>
      <c r="B13" s="2897"/>
      <c r="C13" s="2898" t="s">
        <v>2361</v>
      </c>
      <c r="D13" s="2899"/>
      <c r="E13" s="2900"/>
      <c r="F13" s="2889"/>
      <c r="G13" s="2890"/>
      <c r="H13" s="2846"/>
      <c r="I13" s="2847"/>
      <c r="J13" s="3749"/>
      <c r="K13" s="3751"/>
      <c r="L13" s="2881" t="s">
        <v>2362</v>
      </c>
      <c r="M13" s="2882"/>
      <c r="N13" s="2858"/>
      <c r="O13" s="2883"/>
      <c r="P13" s="2883"/>
      <c r="Q13" s="2884">
        <v>365</v>
      </c>
      <c r="R13" s="2885">
        <f t="shared" si="0"/>
        <v>0</v>
      </c>
      <c r="S13" s="2839"/>
      <c r="T13" s="2839"/>
      <c r="U13" s="2839"/>
      <c r="V13" s="2847"/>
    </row>
    <row r="14" spans="1:22" s="2851" customFormat="1" ht="13.15" customHeight="1">
      <c r="A14" s="2894" t="s">
        <v>2363</v>
      </c>
      <c r="B14" s="3755" t="s">
        <v>2364</v>
      </c>
      <c r="C14" s="3756"/>
      <c r="D14" s="2895">
        <f>ROUND(E14*B5/10000,0)</f>
        <v>0</v>
      </c>
      <c r="E14" s="2884"/>
      <c r="F14" s="2889" t="s">
        <v>2365</v>
      </c>
      <c r="G14" s="2890"/>
      <c r="H14" s="2846"/>
      <c r="I14" s="2847"/>
      <c r="J14" s="3749"/>
      <c r="K14" s="3752"/>
      <c r="L14" s="2901" t="s">
        <v>2366</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2367</v>
      </c>
      <c r="B15" s="3755" t="s">
        <v>2368</v>
      </c>
      <c r="C15" s="3756"/>
      <c r="D15" s="2895">
        <f>ROUND(D6*E15,0)</f>
        <v>0</v>
      </c>
      <c r="E15" s="2896">
        <v>5.5E-2</v>
      </c>
      <c r="F15" s="2889" t="s">
        <v>2369</v>
      </c>
      <c r="G15" s="2871"/>
      <c r="H15" s="2846"/>
      <c r="I15" s="2847"/>
      <c r="J15" s="3749">
        <v>2</v>
      </c>
      <c r="K15" s="3750" t="s">
        <v>2370</v>
      </c>
      <c r="L15" s="2881" t="s">
        <v>2371</v>
      </c>
      <c r="M15" s="2882" t="s">
        <v>2372</v>
      </c>
      <c r="N15" s="2882" t="s">
        <v>2373</v>
      </c>
      <c r="O15" s="2883" t="s">
        <v>2374</v>
      </c>
      <c r="P15" s="2883" t="s">
        <v>2336</v>
      </c>
      <c r="Q15" s="2858" t="s">
        <v>2375</v>
      </c>
      <c r="R15" s="2905" t="s">
        <v>2337</v>
      </c>
      <c r="S15" s="2839"/>
      <c r="T15" s="2839"/>
      <c r="U15" s="2839"/>
      <c r="V15" s="2847"/>
    </row>
    <row r="16" spans="1:22" s="2851" customFormat="1" ht="13.15" customHeight="1">
      <c r="A16" s="2894" t="s">
        <v>2376</v>
      </c>
      <c r="B16" s="3755" t="s">
        <v>2377</v>
      </c>
      <c r="C16" s="3756"/>
      <c r="D16" s="2906">
        <f>D6*E16</f>
        <v>0</v>
      </c>
      <c r="E16" s="2907"/>
      <c r="F16" s="2892" t="s">
        <v>2378</v>
      </c>
      <c r="G16" s="2871"/>
      <c r="H16" s="2846"/>
      <c r="I16" s="2847"/>
      <c r="J16" s="3749"/>
      <c r="K16" s="3751"/>
      <c r="L16" s="2881" t="s">
        <v>2379</v>
      </c>
      <c r="M16" s="2882"/>
      <c r="N16" s="2882"/>
      <c r="O16" s="2883"/>
      <c r="P16" s="2884">
        <v>365</v>
      </c>
      <c r="Q16" s="2858"/>
      <c r="R16" s="2905">
        <f>ROUND(M16*N16*O16*P16/10000,0)</f>
        <v>0</v>
      </c>
      <c r="S16" s="2839"/>
      <c r="T16" s="2839"/>
      <c r="U16" s="2839"/>
      <c r="V16" s="2847"/>
    </row>
    <row r="17" spans="1:22" s="2851" customFormat="1" ht="13.15" customHeight="1" thickBot="1">
      <c r="A17" s="2908">
        <v>4</v>
      </c>
      <c r="B17" s="3757" t="s">
        <v>2380</v>
      </c>
      <c r="C17" s="3758"/>
      <c r="D17" s="2909">
        <f>ROUND(D6*E17,0)</f>
        <v>0</v>
      </c>
      <c r="E17" s="2910"/>
      <c r="F17" s="2911" t="s">
        <v>2381</v>
      </c>
      <c r="G17" s="2871"/>
      <c r="H17" s="2846"/>
      <c r="I17" s="2847"/>
      <c r="J17" s="3749"/>
      <c r="K17" s="3751"/>
      <c r="L17" s="2881" t="s">
        <v>2382</v>
      </c>
      <c r="M17" s="2882"/>
      <c r="N17" s="2882"/>
      <c r="O17" s="2883"/>
      <c r="P17" s="2884">
        <v>365</v>
      </c>
      <c r="Q17" s="2858"/>
      <c r="R17" s="2905">
        <f>ROUND(M17*N17*O17*P17/10000,0)</f>
        <v>0</v>
      </c>
      <c r="S17" s="2839"/>
      <c r="T17" s="2839"/>
      <c r="U17" s="2839"/>
      <c r="V17" s="2847"/>
    </row>
    <row r="18" spans="1:22" s="2851" customFormat="1" ht="13.15" customHeight="1" thickBot="1">
      <c r="A18" s="2874" t="s">
        <v>2383</v>
      </c>
      <c r="B18" s="2875"/>
      <c r="C18" s="2875"/>
      <c r="D18" s="2912">
        <f>ROUND(D6*E18,0)</f>
        <v>0</v>
      </c>
      <c r="E18" s="2913"/>
      <c r="F18" s="2914" t="s">
        <v>2384</v>
      </c>
      <c r="G18" s="2871"/>
      <c r="H18" s="2846"/>
      <c r="I18" s="2847"/>
      <c r="J18" s="3749"/>
      <c r="K18" s="3751"/>
      <c r="L18" s="2881" t="s">
        <v>2385</v>
      </c>
      <c r="M18" s="2882"/>
      <c r="N18" s="2882"/>
      <c r="O18" s="2883"/>
      <c r="P18" s="2884">
        <v>365</v>
      </c>
      <c r="Q18" s="2858"/>
      <c r="R18" s="2905">
        <f>ROUND(M18*N18*O18*P18/10000,0)</f>
        <v>0</v>
      </c>
      <c r="S18" s="2839"/>
      <c r="T18" s="2839"/>
      <c r="U18" s="2839"/>
      <c r="V18" s="2847"/>
    </row>
    <row r="19" spans="1:22" s="2851" customFormat="1" ht="13.15" customHeight="1" thickBot="1">
      <c r="A19" s="2915" t="s">
        <v>2386</v>
      </c>
      <c r="B19" s="2869"/>
      <c r="C19" s="2869"/>
      <c r="D19" s="2869"/>
      <c r="E19" s="2869"/>
      <c r="F19" s="2870"/>
      <c r="G19" s="2890"/>
      <c r="H19" s="2846"/>
      <c r="I19" s="2847"/>
      <c r="J19" s="3749"/>
      <c r="K19" s="3752"/>
      <c r="L19" s="2901" t="s">
        <v>2366</v>
      </c>
      <c r="M19" s="2902"/>
      <c r="N19" s="2902">
        <f>SUM(N16:N18)</f>
        <v>0</v>
      </c>
      <c r="O19" s="2903"/>
      <c r="P19" s="2916" t="s">
        <v>2430</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9">
        <v>3</v>
      </c>
      <c r="K20" s="3750" t="s">
        <v>2387</v>
      </c>
      <c r="L20" s="2881" t="s">
        <v>2388</v>
      </c>
      <c r="M20" s="2882" t="s">
        <v>2389</v>
      </c>
      <c r="N20" s="2919" t="s">
        <v>2390</v>
      </c>
      <c r="O20" s="2883" t="s">
        <v>2391</v>
      </c>
      <c r="P20" s="2884" t="s">
        <v>2392</v>
      </c>
      <c r="Q20" s="2858" t="s">
        <v>2393</v>
      </c>
      <c r="R20" s="2905" t="s">
        <v>2394</v>
      </c>
      <c r="S20" s="2920"/>
      <c r="T20" s="2920"/>
      <c r="U20" s="2920"/>
      <c r="V20" s="2847"/>
    </row>
    <row r="21" spans="1:22" s="2851" customFormat="1" ht="13.15" customHeight="1">
      <c r="A21" s="2874"/>
      <c r="B21" s="2875"/>
      <c r="C21" s="2921" t="s">
        <v>2395</v>
      </c>
      <c r="D21" s="2922" t="s">
        <v>2396</v>
      </c>
      <c r="E21" s="2923" t="s">
        <v>2397</v>
      </c>
      <c r="F21" s="2918"/>
      <c r="G21" s="2890"/>
      <c r="H21" s="2846"/>
      <c r="I21" s="2847"/>
      <c r="J21" s="3749"/>
      <c r="K21" s="3751"/>
      <c r="L21" s="2881" t="s">
        <v>2398</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2399</v>
      </c>
      <c r="D22" s="2926" t="s">
        <v>2400</v>
      </c>
      <c r="E22" s="2927" t="s">
        <v>2401</v>
      </c>
      <c r="F22" s="2918"/>
      <c r="G22" s="2928"/>
      <c r="H22" s="2846"/>
      <c r="I22" s="2847"/>
      <c r="J22" s="3749"/>
      <c r="K22" s="3751"/>
      <c r="L22" s="2881" t="s">
        <v>2402</v>
      </c>
      <c r="M22" s="2882"/>
      <c r="N22" s="2882"/>
      <c r="O22" s="2883"/>
      <c r="P22" s="2884">
        <v>365</v>
      </c>
      <c r="Q22" s="2858"/>
      <c r="R22" s="2924">
        <f>ROUND(M22*N22*O22*P22/10000,0)</f>
        <v>0</v>
      </c>
      <c r="S22" s="2920"/>
      <c r="T22" s="2920"/>
      <c r="U22" s="2920"/>
      <c r="V22" s="2847"/>
    </row>
    <row r="23" spans="1:22" s="2851" customFormat="1" ht="13.15" customHeight="1">
      <c r="A23" s="2929">
        <v>1</v>
      </c>
      <c r="B23" s="2930" t="s">
        <v>2403</v>
      </c>
      <c r="C23" s="2931">
        <f>D6</f>
        <v>0</v>
      </c>
      <c r="D23" s="2932">
        <f>C23*(1+D24)</f>
        <v>0</v>
      </c>
      <c r="E23" s="2933">
        <f>D23*(1+E24)</f>
        <v>0</v>
      </c>
      <c r="F23" s="2934"/>
      <c r="G23" s="2935"/>
      <c r="H23" s="2846"/>
      <c r="I23" s="2847"/>
      <c r="J23" s="3749"/>
      <c r="K23" s="3751"/>
      <c r="L23" s="2881" t="s">
        <v>2404</v>
      </c>
      <c r="M23" s="2882"/>
      <c r="N23" s="2882"/>
      <c r="O23" s="2883"/>
      <c r="P23" s="2884">
        <v>365</v>
      </c>
      <c r="Q23" s="2858"/>
      <c r="R23" s="2924">
        <f>ROUND(M23*N23*O23*P23/10000,0)</f>
        <v>0</v>
      </c>
      <c r="S23" s="2839"/>
      <c r="T23" s="2839"/>
      <c r="U23" s="2839"/>
      <c r="V23" s="2847"/>
    </row>
    <row r="24" spans="1:22" s="2851" customFormat="1" ht="13.15" customHeight="1">
      <c r="A24" s="2936"/>
      <c r="B24" s="2937" t="s">
        <v>2405</v>
      </c>
      <c r="C24" s="2938"/>
      <c r="D24" s="2939"/>
      <c r="E24" s="2940"/>
      <c r="F24" s="2941"/>
      <c r="G24" s="2935"/>
      <c r="H24" s="2846"/>
      <c r="I24" s="2847"/>
      <c r="J24" s="3749"/>
      <c r="K24" s="3752"/>
      <c r="L24" s="2901" t="s">
        <v>2366</v>
      </c>
      <c r="M24" s="2902">
        <f>SUM(M21:M23)</f>
        <v>0</v>
      </c>
      <c r="N24" s="2902"/>
      <c r="O24" s="2903"/>
      <c r="P24" s="2916" t="s">
        <v>2430</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2406</v>
      </c>
      <c r="L25" s="2944"/>
      <c r="M25" s="2944"/>
      <c r="N25" s="2944"/>
      <c r="O25" s="2944"/>
      <c r="P25" s="2945"/>
      <c r="Q25" s="2946">
        <v>0</v>
      </c>
      <c r="R25" s="2917">
        <f>ROUND(R14*Q25,0)</f>
        <v>0</v>
      </c>
      <c r="S25" s="2839"/>
      <c r="T25" s="2839"/>
      <c r="U25" s="2839"/>
      <c r="V25" s="2947"/>
    </row>
    <row r="26" spans="1:22" s="2948" customFormat="1" ht="13.15" customHeight="1">
      <c r="A26" s="2929">
        <v>2</v>
      </c>
      <c r="B26" s="2930" t="s">
        <v>2407</v>
      </c>
      <c r="C26" s="2931">
        <f>D7</f>
        <v>0</v>
      </c>
      <c r="D26" s="2932">
        <f>D23*D27</f>
        <v>0</v>
      </c>
      <c r="E26" s="2933">
        <f>E23*E27</f>
        <v>0</v>
      </c>
      <c r="F26" s="2934"/>
      <c r="G26" s="2935"/>
      <c r="H26" s="2846"/>
      <c r="I26" s="2847"/>
      <c r="J26" s="3759">
        <v>5</v>
      </c>
      <c r="K26" s="2949" t="s">
        <v>2408</v>
      </c>
      <c r="L26" s="2950"/>
      <c r="M26" s="2951"/>
      <c r="N26" s="2952" t="s">
        <v>2409</v>
      </c>
      <c r="O26" s="2952" t="s">
        <v>2410</v>
      </c>
      <c r="P26" s="2953" t="s">
        <v>2411</v>
      </c>
      <c r="Q26" s="2953" t="s">
        <v>2412</v>
      </c>
      <c r="R26" s="2856" t="s">
        <v>2337</v>
      </c>
      <c r="S26" s="2954"/>
      <c r="T26" s="2954"/>
      <c r="U26" s="2954"/>
      <c r="V26" s="2947"/>
    </row>
    <row r="27" spans="1:22" s="2851" customFormat="1" ht="13.15" customHeight="1">
      <c r="A27" s="2936"/>
      <c r="B27" s="2937" t="s">
        <v>2413</v>
      </c>
      <c r="C27" s="2955" t="e">
        <f>E7</f>
        <v>#DIV/0!</v>
      </c>
      <c r="D27" s="2939"/>
      <c r="E27" s="2940"/>
      <c r="F27" s="2941"/>
      <c r="G27" s="2935"/>
      <c r="H27" s="2956"/>
      <c r="I27" s="2947"/>
      <c r="J27" s="37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2414</v>
      </c>
      <c r="F28" s="2941"/>
      <c r="G28" s="2928"/>
      <c r="H28" s="2956"/>
      <c r="I28" s="2947"/>
      <c r="J28" s="2962">
        <v>6</v>
      </c>
      <c r="K28" s="2963" t="s">
        <v>2415</v>
      </c>
      <c r="L28" s="2964" t="s">
        <v>2416</v>
      </c>
      <c r="M28" s="2965"/>
      <c r="N28" s="2964" t="s">
        <v>2417</v>
      </c>
      <c r="O28" s="2966"/>
      <c r="P28" s="2964" t="s">
        <v>2418</v>
      </c>
      <c r="Q28" s="2967">
        <v>1.4999999999999999E-2</v>
      </c>
      <c r="R28" s="2968"/>
      <c r="S28" s="2920"/>
      <c r="T28" s="2920"/>
      <c r="U28" s="2920"/>
      <c r="V28" s="2947"/>
    </row>
    <row r="29" spans="1:22" s="2948" customFormat="1" ht="13.15" customHeight="1">
      <c r="A29" s="2929">
        <v>3</v>
      </c>
      <c r="B29" s="2930" t="s">
        <v>2419</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2413</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2420</v>
      </c>
      <c r="K31" s="2837"/>
      <c r="L31" s="2837"/>
      <c r="M31" s="2837"/>
      <c r="N31" s="2837"/>
      <c r="O31" s="2837"/>
      <c r="P31" s="2837"/>
      <c r="Q31" s="2837"/>
      <c r="R31" s="2838"/>
      <c r="S31" s="2920"/>
      <c r="T31" s="2839"/>
      <c r="U31" s="2839"/>
      <c r="V31" s="2947"/>
    </row>
    <row r="32" spans="1:22" s="2948" customFormat="1" ht="13.15" customHeight="1">
      <c r="A32" s="2929">
        <v>4</v>
      </c>
      <c r="B32" s="2930" t="s">
        <v>2421</v>
      </c>
      <c r="C32" s="2931">
        <f>C23-C26-C29</f>
        <v>0</v>
      </c>
      <c r="D32" s="2932">
        <f>D23-D26-D29</f>
        <v>0</v>
      </c>
      <c r="E32" s="2933">
        <f>E23-E26-E29</f>
        <v>0</v>
      </c>
      <c r="F32" s="2934"/>
      <c r="G32" s="2928"/>
      <c r="H32" s="2846"/>
      <c r="I32" s="2847"/>
      <c r="J32" s="3742" t="s">
        <v>2313</v>
      </c>
      <c r="K32" s="3743"/>
      <c r="L32" s="2848" t="s">
        <v>2314</v>
      </c>
      <c r="M32" s="2848" t="s">
        <v>2315</v>
      </c>
      <c r="N32" s="2848" t="s">
        <v>2316</v>
      </c>
      <c r="O32" s="2848" t="s">
        <v>2317</v>
      </c>
      <c r="P32" s="2848" t="s">
        <v>2318</v>
      </c>
      <c r="Q32" s="2849" t="s">
        <v>2319</v>
      </c>
      <c r="R32" s="2971" t="s">
        <v>2320</v>
      </c>
      <c r="S32" s="2920"/>
      <c r="T32" s="2839"/>
      <c r="U32" s="2839"/>
      <c r="V32" s="2947"/>
    </row>
    <row r="33" spans="1:23" s="2851" customFormat="1" ht="13.15" customHeight="1">
      <c r="A33" s="2929"/>
      <c r="B33" s="2930"/>
      <c r="C33" s="2931"/>
      <c r="D33" s="2972"/>
      <c r="E33" s="2973"/>
      <c r="F33" s="2934"/>
      <c r="G33" s="2928"/>
      <c r="H33" s="2956"/>
      <c r="I33" s="2947"/>
      <c r="J33" s="3744" t="s">
        <v>2323</v>
      </c>
      <c r="K33" s="3745"/>
      <c r="L33" s="2854"/>
      <c r="M33" s="2854"/>
      <c r="N33" s="2854"/>
      <c r="O33" s="2854"/>
      <c r="P33" s="2854"/>
      <c r="Q33" s="2855"/>
      <c r="R33" s="2974">
        <f>SUM(L33:Q33)</f>
        <v>0</v>
      </c>
      <c r="S33" s="2920"/>
      <c r="T33" s="2839"/>
      <c r="U33" s="2839"/>
      <c r="V33" s="2847"/>
    </row>
    <row r="34" spans="1:23" s="2851" customFormat="1" ht="13.15" customHeight="1">
      <c r="A34" s="2929">
        <v>5</v>
      </c>
      <c r="B34" s="2930" t="s">
        <v>2422</v>
      </c>
      <c r="C34" s="2975"/>
      <c r="D34" s="2976"/>
      <c r="E34" s="2977"/>
      <c r="F34" s="2934"/>
      <c r="G34" s="2928"/>
      <c r="H34" s="2956"/>
      <c r="I34" s="2947"/>
      <c r="J34" s="3744" t="s">
        <v>2325</v>
      </c>
      <c r="K34" s="37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2423</v>
      </c>
      <c r="C35" s="2979"/>
      <c r="D35" s="2980"/>
      <c r="E35" s="2981"/>
      <c r="F35" s="2934"/>
      <c r="G35" s="2982"/>
      <c r="H35" s="2846"/>
      <c r="I35" s="2947"/>
      <c r="J35" s="2865" t="s">
        <v>2327</v>
      </c>
      <c r="K35" s="2866"/>
      <c r="L35" s="2866"/>
      <c r="M35" s="2867"/>
      <c r="N35" s="2867"/>
      <c r="O35" s="2867"/>
      <c r="P35" s="2867"/>
      <c r="Q35" s="2867"/>
      <c r="R35" s="2983">
        <f>R40+R41+R43</f>
        <v>0</v>
      </c>
      <c r="S35" s="2920"/>
      <c r="T35" s="2839" t="s">
        <v>2328</v>
      </c>
      <c r="U35" s="2839"/>
      <c r="V35" s="2847"/>
    </row>
    <row r="36" spans="1:23" s="2851" customFormat="1" ht="13.15" customHeight="1" thickBot="1">
      <c r="A36" s="2929">
        <v>7</v>
      </c>
      <c r="B36" s="2984" t="s">
        <v>2424</v>
      </c>
      <c r="C36" s="2985"/>
      <c r="D36" s="2986"/>
      <c r="E36" s="2987"/>
      <c r="F36" s="2988">
        <f>C36+D36+E36</f>
        <v>0</v>
      </c>
      <c r="G36" s="2928"/>
      <c r="H36" s="2846"/>
      <c r="I36" s="2847"/>
      <c r="J36" s="3749">
        <v>1</v>
      </c>
      <c r="K36" s="3750" t="s">
        <v>2425</v>
      </c>
      <c r="L36" s="2872"/>
      <c r="M36" s="2873"/>
      <c r="N36" s="2873"/>
      <c r="O36" s="2873"/>
      <c r="P36" s="2873"/>
      <c r="Q36" s="2873"/>
      <c r="R36" s="2856" t="s">
        <v>2337</v>
      </c>
      <c r="S36" s="2920"/>
      <c r="T36" s="2839" t="s">
        <v>2338</v>
      </c>
      <c r="U36" s="2839"/>
      <c r="V36" s="2847"/>
    </row>
    <row r="37" spans="1:23" s="2851" customFormat="1" ht="13.15" customHeight="1">
      <c r="A37" s="2929"/>
      <c r="B37" s="2930"/>
      <c r="C37" s="2930"/>
      <c r="D37" s="2930"/>
      <c r="E37" s="2930"/>
      <c r="F37" s="2934"/>
      <c r="G37" s="2928"/>
      <c r="H37" s="2846"/>
      <c r="I37" s="2847"/>
      <c r="J37" s="3749"/>
      <c r="K37" s="3751"/>
      <c r="L37" s="2881"/>
      <c r="M37" s="2882"/>
      <c r="N37" s="2858"/>
      <c r="O37" s="2883"/>
      <c r="P37" s="2883"/>
      <c r="Q37" s="2884"/>
      <c r="R37" s="2885"/>
      <c r="S37" s="2920"/>
      <c r="T37" s="2839" t="s">
        <v>2341</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9"/>
      <c r="K38" s="3751"/>
      <c r="L38" s="2881"/>
      <c r="M38" s="2882"/>
      <c r="N38" s="2858"/>
      <c r="O38" s="2883"/>
      <c r="P38" s="2883"/>
      <c r="Q38" s="2884"/>
      <c r="R38" s="2885"/>
      <c r="S38" s="2920"/>
      <c r="T38" s="2839" t="s">
        <v>2348</v>
      </c>
      <c r="U38" s="2839"/>
      <c r="V38" s="2847"/>
    </row>
    <row r="39" spans="1:23" s="2851" customFormat="1" ht="13.15" customHeight="1">
      <c r="A39" s="2929">
        <v>9</v>
      </c>
      <c r="B39" s="2930" t="s">
        <v>2426</v>
      </c>
      <c r="C39" s="2895" t="e">
        <f>C38</f>
        <v>#DIV/0!</v>
      </c>
      <c r="D39" s="2930">
        <f>D38/(1+D34)^C36</f>
        <v>0</v>
      </c>
      <c r="E39" s="2930">
        <f>E38/(1+E34)^(C36+D36)</f>
        <v>0</v>
      </c>
      <c r="F39" s="2934"/>
      <c r="G39" s="2989"/>
      <c r="H39" s="2846"/>
      <c r="I39" s="2847"/>
      <c r="J39" s="3749"/>
      <c r="K39" s="3751"/>
      <c r="L39" s="2881"/>
      <c r="M39" s="2882"/>
      <c r="N39" s="2858"/>
      <c r="O39" s="2883"/>
      <c r="P39" s="2883"/>
      <c r="Q39" s="2884"/>
      <c r="R39" s="2885"/>
      <c r="S39" s="2920"/>
      <c r="T39" s="2839"/>
      <c r="U39" s="2839"/>
      <c r="V39" s="2847"/>
    </row>
    <row r="40" spans="1:23" s="2851" customFormat="1" ht="13.15" customHeight="1">
      <c r="A40" s="2990">
        <v>10</v>
      </c>
      <c r="B40" s="2930" t="s">
        <v>2427</v>
      </c>
      <c r="C40" s="2991" t="e">
        <f>C39+D39+E39</f>
        <v>#DIV/0!</v>
      </c>
      <c r="D40" s="2992"/>
      <c r="E40" s="2992"/>
      <c r="F40" s="2993"/>
      <c r="G40" s="2928"/>
      <c r="H40" s="2846"/>
      <c r="I40" s="2847"/>
      <c r="J40" s="3749"/>
      <c r="K40" s="3752"/>
      <c r="L40" s="2901" t="s">
        <v>2366</v>
      </c>
      <c r="M40" s="2902"/>
      <c r="N40" s="2902"/>
      <c r="O40" s="2903"/>
      <c r="P40" s="2903"/>
      <c r="Q40" s="2904"/>
      <c r="R40" s="2850">
        <f>SUM(R37:R39)</f>
        <v>0</v>
      </c>
      <c r="S40" s="2920"/>
      <c r="T40" s="2839"/>
      <c r="U40" s="2839"/>
      <c r="V40" s="2847"/>
    </row>
    <row r="41" spans="1:23" s="2851" customFormat="1" ht="13.15" customHeight="1" thickBot="1">
      <c r="A41" s="2994">
        <v>11</v>
      </c>
      <c r="B41" s="2995" t="s">
        <v>2428</v>
      </c>
      <c r="C41" s="2995" t="e">
        <f>ROUND(C40*10000/B4,0)</f>
        <v>#DIV/0!</v>
      </c>
      <c r="D41" s="2996"/>
      <c r="E41" s="2996"/>
      <c r="F41" s="2997"/>
      <c r="G41" s="2998"/>
      <c r="H41" s="2846"/>
      <c r="I41" s="2847"/>
      <c r="J41" s="2942">
        <v>2</v>
      </c>
      <c r="K41" s="2943" t="s">
        <v>2406</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9">
        <v>3</v>
      </c>
      <c r="K42" s="2949" t="s">
        <v>2408</v>
      </c>
      <c r="L42" s="2950"/>
      <c r="M42" s="2951"/>
      <c r="N42" s="2952" t="s">
        <v>2409</v>
      </c>
      <c r="O42" s="2952" t="s">
        <v>2410</v>
      </c>
      <c r="P42" s="2953" t="s">
        <v>2411</v>
      </c>
      <c r="Q42" s="2953" t="s">
        <v>2412</v>
      </c>
      <c r="R42" s="2856" t="s">
        <v>2337</v>
      </c>
      <c r="S42" s="2954"/>
      <c r="T42" s="2954"/>
      <c r="U42" s="2839"/>
      <c r="V42" s="2847"/>
    </row>
    <row r="43" spans="1:23" ht="13.15" customHeight="1">
      <c r="A43" s="2851"/>
      <c r="B43" s="2851"/>
      <c r="C43" s="2851"/>
      <c r="D43" s="2851"/>
      <c r="E43" s="2851"/>
      <c r="F43" s="2851"/>
      <c r="I43" s="2834"/>
      <c r="J43" s="37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2415</v>
      </c>
      <c r="L44" s="3002" t="s">
        <v>2416</v>
      </c>
      <c r="M44" s="2965"/>
      <c r="N44" s="3002" t="s">
        <v>2417</v>
      </c>
      <c r="O44" s="2965"/>
      <c r="P44" s="3002" t="s">
        <v>2418</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5"/>
      <c r="G1" s="1488"/>
      <c r="H1" s="1488"/>
      <c r="I1" s="1488"/>
      <c r="J1" s="1488"/>
      <c r="K1" s="1488"/>
      <c r="L1" s="1488"/>
      <c r="M1" s="1488"/>
      <c r="N1" s="1488"/>
      <c r="O1" s="1488"/>
      <c r="P1" s="1488"/>
      <c r="Q1" s="1488"/>
      <c r="R1" s="1488"/>
      <c r="S1" s="1488"/>
    </row>
    <row r="2" spans="1:22" ht="15.75">
      <c r="A2" s="1869" t="s">
        <v>1459</v>
      </c>
      <c r="B2" s="1870">
        <f ca="1">SUMIF(B6:B13,"&lt;&gt;#ref!",B6:B13)</f>
        <v>1427.1355000000001</v>
      </c>
      <c r="C2" s="1871" t="s">
        <v>1648</v>
      </c>
      <c r="D2" s="1872" t="s">
        <v>1649</v>
      </c>
      <c r="E2" s="2606">
        <f>SUM(E6:E13)</f>
        <v>571.24</v>
      </c>
      <c r="F2" s="2705"/>
      <c r="G2" s="1488"/>
      <c r="H2" s="1488"/>
      <c r="I2" s="1488"/>
      <c r="J2" s="1488"/>
      <c r="K2" s="1488"/>
      <c r="L2" s="1488"/>
      <c r="M2" s="1488"/>
      <c r="N2" s="1488"/>
      <c r="O2" s="1488"/>
      <c r="P2" s="1488"/>
      <c r="Q2" s="1488"/>
      <c r="R2" s="1488"/>
      <c r="S2" s="1488"/>
    </row>
    <row r="3" spans="1:22" ht="15.75">
      <c r="A3" s="1869" t="s">
        <v>686</v>
      </c>
      <c r="B3" s="2600">
        <f ca="1">ROUND(B2*10000/E2,0)</f>
        <v>24983</v>
      </c>
      <c r="C3" s="1871" t="s">
        <v>1656</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1650</v>
      </c>
      <c r="B5" s="3761" t="s">
        <v>1651</v>
      </c>
      <c r="C5" s="3762"/>
      <c r="D5" s="2706"/>
      <c r="E5" s="1873" t="s">
        <v>1652</v>
      </c>
      <c r="F5" s="1874" t="s">
        <v>1653</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1427.1355000000001</v>
      </c>
      <c r="C6" s="1871" t="s">
        <v>1648</v>
      </c>
      <c r="D6" s="2707"/>
      <c r="E6" s="2605">
        <f>IF(OR(A6=0,F6="否"),0,'数据-取费表'!K6+'数据-取费表'!S6)</f>
        <v>571.24</v>
      </c>
      <c r="F6" s="1875" t="s">
        <v>1654</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1648</v>
      </c>
      <c r="D7" s="2707"/>
      <c r="E7" s="2605">
        <f>IF(OR(A7=0,F7="否"),0,'数据-取费表'!K7+'数据-取费表'!S7)</f>
        <v>0</v>
      </c>
      <c r="F7" s="1875" t="s">
        <v>1654</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1648</v>
      </c>
      <c r="D8" s="2707"/>
      <c r="E8" s="2605">
        <f>IF(OR(A8=0,F8="否"),0,'数据-取费表'!K8+'数据-取费表'!S8)</f>
        <v>0</v>
      </c>
      <c r="F8" s="1875" t="s">
        <v>1654</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1648</v>
      </c>
      <c r="D9" s="2707"/>
      <c r="E9" s="2605">
        <f>IF(OR(A9=0,F9="否"),0,'数据-取费表'!K9+'数据-取费表'!S9)</f>
        <v>0</v>
      </c>
      <c r="F9" s="1875" t="s">
        <v>1654</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1648</v>
      </c>
      <c r="D10" s="2707"/>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1648</v>
      </c>
      <c r="D11" s="2707"/>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1648</v>
      </c>
      <c r="D12" s="2707"/>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8"/>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4"/>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1661</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571.24</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1663</v>
      </c>
      <c r="B4" s="356"/>
      <c r="C4" s="3712" t="s">
        <v>1664</v>
      </c>
      <c r="D4" s="3713"/>
      <c r="E4" s="3714" t="s">
        <v>1665</v>
      </c>
      <c r="F4" s="3715"/>
      <c r="G4" s="3712" t="s">
        <v>1666</v>
      </c>
      <c r="H4" s="3713"/>
      <c r="I4" s="3712" t="s">
        <v>1667</v>
      </c>
      <c r="J4" s="3713"/>
      <c r="K4" s="1888" t="s">
        <v>1668</v>
      </c>
      <c r="L4" s="2713"/>
      <c r="M4" s="2714"/>
      <c r="N4" s="2714"/>
      <c r="O4" s="2714"/>
      <c r="P4" s="3768" t="s">
        <v>1669</v>
      </c>
      <c r="Q4" s="3769"/>
      <c r="R4" s="3764" t="s">
        <v>1665</v>
      </c>
      <c r="S4" s="3765"/>
      <c r="T4" s="3764" t="s">
        <v>1666</v>
      </c>
      <c r="U4" s="3765"/>
      <c r="V4" s="3725" t="s">
        <v>1667</v>
      </c>
      <c r="W4" s="3725"/>
      <c r="X4" s="1354"/>
      <c r="Y4" s="3764" t="s">
        <v>1669</v>
      </c>
      <c r="Z4" s="3765"/>
      <c r="AA4" s="3763" t="s">
        <v>1665</v>
      </c>
      <c r="AB4" s="3763" t="s">
        <v>1666</v>
      </c>
      <c r="AC4" s="3763" t="s">
        <v>1667</v>
      </c>
    </row>
    <row r="5" spans="1:29" ht="15">
      <c r="A5" s="358"/>
      <c r="B5" s="359"/>
      <c r="C5" s="3767" t="s">
        <v>1670</v>
      </c>
      <c r="D5" s="3703"/>
      <c r="E5" s="3766" t="s">
        <v>1671</v>
      </c>
      <c r="F5" s="3701"/>
      <c r="G5" s="3767" t="s">
        <v>1672</v>
      </c>
      <c r="H5" s="3703"/>
      <c r="I5" s="3767" t="s">
        <v>1673</v>
      </c>
      <c r="J5" s="3703"/>
      <c r="K5" s="1889"/>
      <c r="L5" s="2713"/>
      <c r="M5" s="2714"/>
      <c r="N5" s="2714"/>
      <c r="O5" s="2714"/>
      <c r="P5" s="3770"/>
      <c r="Q5" s="3719"/>
      <c r="R5" s="3698"/>
      <c r="S5" s="3699"/>
      <c r="T5" s="3698"/>
      <c r="U5" s="3699"/>
      <c r="V5" s="3725"/>
      <c r="W5" s="3725"/>
      <c r="X5" s="1354"/>
      <c r="Y5" s="3698"/>
      <c r="Z5" s="3699"/>
      <c r="AA5" s="3692"/>
      <c r="AB5" s="3692"/>
      <c r="AC5" s="3692"/>
    </row>
    <row r="6" spans="1:29" ht="15.75" thickBot="1">
      <c r="A6" s="360"/>
      <c r="B6" s="361"/>
      <c r="C6" s="3704" t="s">
        <v>1674</v>
      </c>
      <c r="D6" s="3705"/>
      <c r="E6" s="3706" t="s">
        <v>1674</v>
      </c>
      <c r="F6" s="3707"/>
      <c r="G6" s="3704" t="s">
        <v>1674</v>
      </c>
      <c r="H6" s="3705"/>
      <c r="I6" s="3704" t="s">
        <v>1674</v>
      </c>
      <c r="J6" s="3705"/>
      <c r="K6" s="1889" t="s">
        <v>1675</v>
      </c>
      <c r="L6" s="2713"/>
      <c r="M6" s="2714"/>
      <c r="N6" s="2714"/>
      <c r="O6" s="2714"/>
      <c r="P6" s="3771"/>
      <c r="Q6" s="3721"/>
      <c r="R6" s="3698"/>
      <c r="S6" s="3699"/>
      <c r="T6" s="3722"/>
      <c r="U6" s="3723"/>
      <c r="V6" s="3725"/>
      <c r="W6" s="3725"/>
      <c r="X6" s="1354"/>
      <c r="Y6" s="3722"/>
      <c r="Z6" s="3723"/>
      <c r="AA6" s="3693"/>
      <c r="AB6" s="3693"/>
      <c r="AC6" s="3693"/>
    </row>
    <row r="7" spans="1:29" s="108" customFormat="1" ht="15.75" thickBot="1">
      <c r="A7" s="362" t="s">
        <v>1676</v>
      </c>
      <c r="B7" s="363"/>
      <c r="C7" s="364">
        <f>'数据-取费表'!B2</f>
        <v>45940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94" t="s">
        <v>1677</v>
      </c>
      <c r="Q7" s="3727"/>
      <c r="R7" s="700" t="s">
        <v>20</v>
      </c>
      <c r="S7" s="701">
        <f t="shared" ref="S7:S15" si="0">F7</f>
        <v>0</v>
      </c>
      <c r="T7" s="700" t="s">
        <v>20</v>
      </c>
      <c r="U7" s="701">
        <f t="shared" ref="U7:U15" si="1">H7</f>
        <v>0</v>
      </c>
      <c r="V7" s="700" t="s">
        <v>20</v>
      </c>
      <c r="W7" s="701">
        <f t="shared" ref="W7:W15" si="2">J7</f>
        <v>0</v>
      </c>
      <c r="X7" s="702"/>
      <c r="Y7" s="3694" t="s">
        <v>1677</v>
      </c>
      <c r="Z7" s="3695"/>
      <c r="AA7" s="703" t="e">
        <f>D7/F7</f>
        <v>#DIV/0!</v>
      </c>
      <c r="AB7" s="703" t="e">
        <f>D7/H7</f>
        <v>#DIV/0!</v>
      </c>
      <c r="AC7" s="703"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94" t="s">
        <v>1680</v>
      </c>
      <c r="Q8" s="3695"/>
      <c r="R8" s="700" t="s">
        <v>20</v>
      </c>
      <c r="S8" s="701">
        <f t="shared" si="0"/>
        <v>100</v>
      </c>
      <c r="T8" s="700" t="s">
        <v>20</v>
      </c>
      <c r="U8" s="701">
        <f t="shared" si="1"/>
        <v>100</v>
      </c>
      <c r="V8" s="700" t="s">
        <v>20</v>
      </c>
      <c r="W8" s="701">
        <f t="shared" si="2"/>
        <v>100</v>
      </c>
      <c r="X8" s="702"/>
      <c r="Y8" s="3694" t="s">
        <v>1680</v>
      </c>
      <c r="Z8" s="3695"/>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08" t="s">
        <v>1683</v>
      </c>
      <c r="Q9" s="1342" t="str">
        <f t="shared" ref="Q9:Q15" si="6">B9</f>
        <v>用途</v>
      </c>
      <c r="R9" s="700" t="s">
        <v>14</v>
      </c>
      <c r="S9" s="701">
        <f t="shared" si="0"/>
        <v>100</v>
      </c>
      <c r="T9" s="700" t="s">
        <v>14</v>
      </c>
      <c r="U9" s="701">
        <f t="shared" si="1"/>
        <v>100</v>
      </c>
      <c r="V9" s="700" t="s">
        <v>14</v>
      </c>
      <c r="W9" s="701">
        <f t="shared" si="2"/>
        <v>100</v>
      </c>
      <c r="X9" s="702"/>
      <c r="Y9" s="3659" t="s">
        <v>1684</v>
      </c>
      <c r="Z9" s="52" t="str">
        <f t="shared" ref="Z9:Z15" si="7">Q9</f>
        <v>用途</v>
      </c>
      <c r="AA9" s="703">
        <f t="shared" si="3"/>
        <v>1</v>
      </c>
      <c r="AB9" s="703">
        <f t="shared" si="4"/>
        <v>1</v>
      </c>
      <c r="AC9" s="703">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08"/>
      <c r="Q10" s="1342" t="str">
        <f t="shared" si="6"/>
        <v>土地使用年限（年）</v>
      </c>
      <c r="R10" s="700" t="s">
        <v>14</v>
      </c>
      <c r="S10" s="701">
        <f t="shared" si="0"/>
        <v>100</v>
      </c>
      <c r="T10" s="700" t="s">
        <v>14</v>
      </c>
      <c r="U10" s="701">
        <f t="shared" si="1"/>
        <v>100</v>
      </c>
      <c r="V10" s="700" t="s">
        <v>14</v>
      </c>
      <c r="W10" s="701">
        <f t="shared" si="2"/>
        <v>100</v>
      </c>
      <c r="X10" s="702"/>
      <c r="Y10" s="3659"/>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8"/>
      <c r="Q11" s="1342" t="str">
        <f t="shared" si="6"/>
        <v>容积率</v>
      </c>
      <c r="R11" s="700" t="s">
        <v>18</v>
      </c>
      <c r="S11" s="701" t="e">
        <f t="shared" si="0"/>
        <v>#N/A</v>
      </c>
      <c r="T11" s="700" t="s">
        <v>18</v>
      </c>
      <c r="U11" s="701" t="e">
        <f t="shared" si="1"/>
        <v>#N/A</v>
      </c>
      <c r="V11" s="700" t="s">
        <v>18</v>
      </c>
      <c r="W11" s="701" t="e">
        <f t="shared" si="2"/>
        <v>#N/A</v>
      </c>
      <c r="X11" s="702"/>
      <c r="Y11" s="365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08"/>
      <c r="Q12" s="1342">
        <f t="shared" si="6"/>
        <v>111</v>
      </c>
      <c r="R12" s="700" t="s">
        <v>18</v>
      </c>
      <c r="S12" s="701">
        <f t="shared" si="0"/>
        <v>100</v>
      </c>
      <c r="T12" s="700" t="s">
        <v>18</v>
      </c>
      <c r="U12" s="701">
        <f t="shared" si="1"/>
        <v>100</v>
      </c>
      <c r="V12" s="700" t="s">
        <v>18</v>
      </c>
      <c r="W12" s="701">
        <f t="shared" si="2"/>
        <v>100</v>
      </c>
      <c r="X12" s="702"/>
      <c r="Y12" s="365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08"/>
      <c r="Q13" s="1342">
        <f t="shared" si="6"/>
        <v>111</v>
      </c>
      <c r="R13" s="700" t="s">
        <v>18</v>
      </c>
      <c r="S13" s="701">
        <f t="shared" si="0"/>
        <v>100</v>
      </c>
      <c r="T13" s="700" t="s">
        <v>18</v>
      </c>
      <c r="U13" s="701">
        <f t="shared" si="1"/>
        <v>100</v>
      </c>
      <c r="V13" s="700" t="s">
        <v>18</v>
      </c>
      <c r="W13" s="701">
        <f t="shared" si="2"/>
        <v>100</v>
      </c>
      <c r="X13" s="702"/>
      <c r="Y13" s="365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08"/>
      <c r="Q14" s="1342">
        <f t="shared" si="6"/>
        <v>111</v>
      </c>
      <c r="R14" s="700" t="s">
        <v>18</v>
      </c>
      <c r="S14" s="701">
        <f t="shared" si="0"/>
        <v>100</v>
      </c>
      <c r="T14" s="700" t="s">
        <v>18</v>
      </c>
      <c r="U14" s="701">
        <f t="shared" si="1"/>
        <v>100</v>
      </c>
      <c r="V14" s="700" t="s">
        <v>18</v>
      </c>
      <c r="W14" s="701">
        <f t="shared" si="2"/>
        <v>100</v>
      </c>
      <c r="X14" s="702"/>
      <c r="Y14" s="3659"/>
      <c r="Z14" s="52">
        <f t="shared" si="7"/>
        <v>111</v>
      </c>
      <c r="AA14" s="703">
        <f t="shared" si="3"/>
        <v>1</v>
      </c>
      <c r="AB14" s="703">
        <f t="shared" si="4"/>
        <v>1</v>
      </c>
      <c r="AC14" s="703">
        <f t="shared" si="5"/>
        <v>1</v>
      </c>
    </row>
    <row r="15" spans="1:29" ht="85.5">
      <c r="A15" s="391" t="s">
        <v>1687</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8" t="s">
        <v>1688</v>
      </c>
      <c r="Q15" s="1351" t="str">
        <f t="shared" si="6"/>
        <v>居住社区成熟度</v>
      </c>
      <c r="R15" s="704" t="s">
        <v>18</v>
      </c>
      <c r="S15" s="705">
        <f t="shared" si="0"/>
        <v>100</v>
      </c>
      <c r="T15" s="704" t="s">
        <v>18</v>
      </c>
      <c r="U15" s="705">
        <f t="shared" si="1"/>
        <v>100</v>
      </c>
      <c r="V15" s="704" t="s">
        <v>18</v>
      </c>
      <c r="W15" s="705">
        <f t="shared" si="2"/>
        <v>100</v>
      </c>
      <c r="X15" s="1354"/>
      <c r="Y15" s="3730"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29"/>
      <c r="Q16" s="1351"/>
      <c r="R16" s="704"/>
      <c r="S16" s="705"/>
      <c r="T16" s="704"/>
      <c r="U16" s="705"/>
      <c r="V16" s="704"/>
      <c r="W16" s="705"/>
      <c r="X16" s="1354"/>
      <c r="Y16" s="373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9"/>
      <c r="Q17" s="1351" t="str">
        <f>B17</f>
        <v>交通便捷度</v>
      </c>
      <c r="R17" s="704" t="s">
        <v>18</v>
      </c>
      <c r="S17" s="705">
        <f>F17</f>
        <v>100</v>
      </c>
      <c r="T17" s="704" t="s">
        <v>18</v>
      </c>
      <c r="U17" s="705">
        <f>H17</f>
        <v>100</v>
      </c>
      <c r="V17" s="704" t="s">
        <v>18</v>
      </c>
      <c r="W17" s="705">
        <f>J17</f>
        <v>100</v>
      </c>
      <c r="X17" s="1354"/>
      <c r="Y17" s="373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29"/>
      <c r="Q18" s="1351"/>
      <c r="R18" s="704"/>
      <c r="S18" s="705"/>
      <c r="T18" s="704"/>
      <c r="U18" s="705"/>
      <c r="V18" s="704"/>
      <c r="W18" s="705"/>
      <c r="X18" s="1354"/>
      <c r="Y18" s="373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9"/>
      <c r="Q19" s="1351" t="str">
        <f>B19</f>
        <v>公共配套设施</v>
      </c>
      <c r="R19" s="704" t="s">
        <v>18</v>
      </c>
      <c r="S19" s="705">
        <f>F19</f>
        <v>100</v>
      </c>
      <c r="T19" s="704" t="s">
        <v>18</v>
      </c>
      <c r="U19" s="705">
        <f>H19</f>
        <v>100</v>
      </c>
      <c r="V19" s="704" t="s">
        <v>18</v>
      </c>
      <c r="W19" s="705">
        <f>J19</f>
        <v>100</v>
      </c>
      <c r="X19" s="1354"/>
      <c r="Y19" s="373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29"/>
      <c r="Q20" s="1351"/>
      <c r="R20" s="704"/>
      <c r="S20" s="705"/>
      <c r="T20" s="704"/>
      <c r="U20" s="705"/>
      <c r="V20" s="704"/>
      <c r="W20" s="705"/>
      <c r="X20" s="1354"/>
      <c r="Y20" s="373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9"/>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29"/>
      <c r="Q22" s="1351"/>
      <c r="R22" s="704"/>
      <c r="S22" s="705"/>
      <c r="T22" s="704"/>
      <c r="U22" s="705"/>
      <c r="V22" s="704"/>
      <c r="W22" s="705"/>
      <c r="X22" s="1354"/>
      <c r="Y22" s="373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9"/>
      <c r="Q23" s="1351" t="str">
        <f>B23</f>
        <v>自然及人文环境</v>
      </c>
      <c r="R23" s="704" t="s">
        <v>18</v>
      </c>
      <c r="S23" s="705">
        <f>F23</f>
        <v>100</v>
      </c>
      <c r="T23" s="704" t="s">
        <v>18</v>
      </c>
      <c r="U23" s="705">
        <f>H23</f>
        <v>100</v>
      </c>
      <c r="V23" s="704" t="s">
        <v>18</v>
      </c>
      <c r="W23" s="705">
        <f>J23</f>
        <v>100</v>
      </c>
      <c r="X23" s="1354"/>
      <c r="Y23" s="373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29"/>
      <c r="Q24" s="1351"/>
      <c r="R24" s="704"/>
      <c r="S24" s="705"/>
      <c r="T24" s="704"/>
      <c r="U24" s="705"/>
      <c r="V24" s="704"/>
      <c r="W24" s="705"/>
      <c r="X24" s="1354"/>
      <c r="Y24" s="3731"/>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2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1"/>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29"/>
      <c r="Q26" s="1351" t="str">
        <f t="shared" si="11"/>
        <v>朝向</v>
      </c>
      <c r="R26" s="704" t="s">
        <v>18</v>
      </c>
      <c r="S26" s="705">
        <f t="shared" si="12"/>
        <v>100</v>
      </c>
      <c r="T26" s="704" t="s">
        <v>18</v>
      </c>
      <c r="U26" s="705">
        <f t="shared" si="13"/>
        <v>100</v>
      </c>
      <c r="V26" s="704" t="s">
        <v>18</v>
      </c>
      <c r="W26" s="705">
        <f t="shared" si="14"/>
        <v>100</v>
      </c>
      <c r="X26" s="1354"/>
      <c r="Y26" s="373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29"/>
      <c r="Q27" s="1342">
        <f t="shared" si="11"/>
        <v>111</v>
      </c>
      <c r="R27" s="700" t="s">
        <v>18</v>
      </c>
      <c r="S27" s="701">
        <f t="shared" si="12"/>
        <v>100</v>
      </c>
      <c r="T27" s="700" t="s">
        <v>18</v>
      </c>
      <c r="U27" s="701">
        <f t="shared" si="13"/>
        <v>100</v>
      </c>
      <c r="V27" s="700" t="s">
        <v>18</v>
      </c>
      <c r="W27" s="701">
        <f t="shared" si="14"/>
        <v>100</v>
      </c>
      <c r="X27" s="702"/>
      <c r="Y27" s="373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29"/>
      <c r="Q28" s="1351">
        <f t="shared" si="11"/>
        <v>111</v>
      </c>
      <c r="R28" s="704" t="s">
        <v>18</v>
      </c>
      <c r="S28" s="705">
        <f t="shared" si="12"/>
        <v>100</v>
      </c>
      <c r="T28" s="704" t="s">
        <v>18</v>
      </c>
      <c r="U28" s="705">
        <f t="shared" si="13"/>
        <v>100</v>
      </c>
      <c r="V28" s="704" t="s">
        <v>18</v>
      </c>
      <c r="W28" s="705">
        <f t="shared" si="14"/>
        <v>100</v>
      </c>
      <c r="X28" s="1354"/>
      <c r="Y28" s="373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29"/>
      <c r="Q29" s="1351">
        <f t="shared" si="11"/>
        <v>111</v>
      </c>
      <c r="R29" s="704" t="s">
        <v>18</v>
      </c>
      <c r="S29" s="705">
        <f t="shared" si="12"/>
        <v>100</v>
      </c>
      <c r="T29" s="704" t="s">
        <v>18</v>
      </c>
      <c r="U29" s="705">
        <f t="shared" si="13"/>
        <v>100</v>
      </c>
      <c r="V29" s="704" t="s">
        <v>18</v>
      </c>
      <c r="W29" s="705">
        <f t="shared" si="14"/>
        <v>100</v>
      </c>
      <c r="X29" s="1354"/>
      <c r="Y29" s="373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29"/>
      <c r="Q30" s="1351">
        <f t="shared" si="11"/>
        <v>111</v>
      </c>
      <c r="R30" s="704" t="s">
        <v>18</v>
      </c>
      <c r="S30" s="705">
        <f t="shared" si="12"/>
        <v>100</v>
      </c>
      <c r="T30" s="704" t="s">
        <v>18</v>
      </c>
      <c r="U30" s="705">
        <f t="shared" si="13"/>
        <v>100</v>
      </c>
      <c r="V30" s="704" t="s">
        <v>18</v>
      </c>
      <c r="W30" s="705">
        <f t="shared" si="14"/>
        <v>100</v>
      </c>
      <c r="X30" s="1354"/>
      <c r="Y30" s="373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29"/>
      <c r="Q31" s="1351">
        <f t="shared" si="11"/>
        <v>111</v>
      </c>
      <c r="R31" s="704" t="s">
        <v>18</v>
      </c>
      <c r="S31" s="705">
        <f t="shared" si="12"/>
        <v>100</v>
      </c>
      <c r="T31" s="704" t="s">
        <v>18</v>
      </c>
      <c r="U31" s="705">
        <f t="shared" si="13"/>
        <v>100</v>
      </c>
      <c r="V31" s="704" t="s">
        <v>18</v>
      </c>
      <c r="W31" s="705">
        <f t="shared" si="14"/>
        <v>100</v>
      </c>
      <c r="X31" s="1354"/>
      <c r="Y31" s="3731"/>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2" t="s">
        <v>1693</v>
      </c>
      <c r="Q32" s="1351" t="str">
        <f t="shared" si="11"/>
        <v>建筑类型</v>
      </c>
      <c r="R32" s="704" t="s">
        <v>18</v>
      </c>
      <c r="S32" s="705">
        <f t="shared" si="12"/>
        <v>100</v>
      </c>
      <c r="T32" s="704" t="s">
        <v>18</v>
      </c>
      <c r="U32" s="705">
        <f t="shared" si="13"/>
        <v>100</v>
      </c>
      <c r="V32" s="704" t="s">
        <v>18</v>
      </c>
      <c r="W32" s="705">
        <f t="shared" si="14"/>
        <v>100</v>
      </c>
      <c r="X32" s="1354"/>
      <c r="Y32" s="3735"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33"/>
      <c r="Q33" s="706" t="str">
        <f t="shared" si="11"/>
        <v>项目建筑规模</v>
      </c>
      <c r="R33" s="707" t="s">
        <v>18</v>
      </c>
      <c r="S33" s="708" t="e">
        <f t="shared" si="12"/>
        <v>#N/A</v>
      </c>
      <c r="T33" s="707" t="s">
        <v>18</v>
      </c>
      <c r="U33" s="708" t="e">
        <f t="shared" si="13"/>
        <v>#N/A</v>
      </c>
      <c r="V33" s="707" t="s">
        <v>18</v>
      </c>
      <c r="W33" s="708" t="e">
        <f t="shared" si="14"/>
        <v>#N/A</v>
      </c>
      <c r="X33" s="709"/>
      <c r="Y33" s="3735"/>
      <c r="Z33" s="710"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33"/>
      <c r="Q34" s="1351" t="str">
        <f t="shared" si="11"/>
        <v>建筑结构</v>
      </c>
      <c r="R34" s="704" t="s">
        <v>18</v>
      </c>
      <c r="S34" s="705">
        <f t="shared" si="12"/>
        <v>100</v>
      </c>
      <c r="T34" s="704" t="s">
        <v>18</v>
      </c>
      <c r="U34" s="705">
        <f t="shared" si="13"/>
        <v>100</v>
      </c>
      <c r="V34" s="704" t="s">
        <v>18</v>
      </c>
      <c r="W34" s="705">
        <f t="shared" si="14"/>
        <v>100</v>
      </c>
      <c r="X34" s="1354"/>
      <c r="Y34" s="3735"/>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33"/>
      <c r="Q35" s="1351" t="str">
        <f t="shared" si="11"/>
        <v>建筑品质</v>
      </c>
      <c r="R35" s="704" t="s">
        <v>18</v>
      </c>
      <c r="S35" s="705">
        <f t="shared" si="12"/>
        <v>100</v>
      </c>
      <c r="T35" s="704" t="s">
        <v>18</v>
      </c>
      <c r="U35" s="705">
        <f t="shared" si="13"/>
        <v>100</v>
      </c>
      <c r="V35" s="704" t="s">
        <v>18</v>
      </c>
      <c r="W35" s="705">
        <f t="shared" si="14"/>
        <v>100</v>
      </c>
      <c r="X35" s="1354"/>
      <c r="Y35" s="3735"/>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33"/>
      <c r="Q36" s="1351" t="str">
        <f t="shared" si="11"/>
        <v>公共部分装修</v>
      </c>
      <c r="R36" s="704" t="s">
        <v>18</v>
      </c>
      <c r="S36" s="705">
        <f t="shared" si="12"/>
        <v>100</v>
      </c>
      <c r="T36" s="704" t="s">
        <v>18</v>
      </c>
      <c r="U36" s="705">
        <f t="shared" si="13"/>
        <v>100</v>
      </c>
      <c r="V36" s="704" t="s">
        <v>18</v>
      </c>
      <c r="W36" s="705">
        <f t="shared" si="14"/>
        <v>100</v>
      </c>
      <c r="X36" s="1354"/>
      <c r="Y36" s="3735"/>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3"/>
      <c r="Q37" s="1342" t="str">
        <f t="shared" si="11"/>
        <v>成新度</v>
      </c>
      <c r="R37" s="700" t="s">
        <v>18</v>
      </c>
      <c r="S37" s="701" t="e">
        <f t="shared" si="12"/>
        <v>#N/A</v>
      </c>
      <c r="T37" s="700" t="s">
        <v>18</v>
      </c>
      <c r="U37" s="701" t="e">
        <f t="shared" si="13"/>
        <v>#N/A</v>
      </c>
      <c r="V37" s="700" t="s">
        <v>18</v>
      </c>
      <c r="W37" s="701" t="e">
        <f t="shared" si="14"/>
        <v>#N/A</v>
      </c>
      <c r="X37" s="702"/>
      <c r="Y37" s="3735"/>
      <c r="Z37" s="52" t="str">
        <f t="shared" si="18"/>
        <v>成新度</v>
      </c>
      <c r="AA37" s="703" t="e">
        <f t="shared" si="15"/>
        <v>#N/A</v>
      </c>
      <c r="AB37" s="703" t="e">
        <f t="shared" si="16"/>
        <v>#N/A</v>
      </c>
      <c r="AC37" s="703"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33" t="s">
        <v>1693</v>
      </c>
      <c r="Q38" s="1351" t="str">
        <f t="shared" si="11"/>
        <v>物业管理</v>
      </c>
      <c r="R38" s="704" t="s">
        <v>18</v>
      </c>
      <c r="S38" s="705">
        <f t="shared" si="12"/>
        <v>100</v>
      </c>
      <c r="T38" s="704" t="s">
        <v>18</v>
      </c>
      <c r="U38" s="705">
        <f t="shared" si="13"/>
        <v>100</v>
      </c>
      <c r="V38" s="704" t="s">
        <v>18</v>
      </c>
      <c r="W38" s="705">
        <f t="shared" si="14"/>
        <v>100</v>
      </c>
      <c r="X38" s="1354"/>
      <c r="Y38" s="3735"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33"/>
      <c r="Q39" s="1351" t="str">
        <f t="shared" si="11"/>
        <v>市政基础设施</v>
      </c>
      <c r="R39" s="704" t="s">
        <v>18</v>
      </c>
      <c r="S39" s="705">
        <f t="shared" si="12"/>
        <v>100</v>
      </c>
      <c r="T39" s="704" t="s">
        <v>18</v>
      </c>
      <c r="U39" s="705">
        <f t="shared" si="13"/>
        <v>100</v>
      </c>
      <c r="V39" s="704" t="s">
        <v>18</v>
      </c>
      <c r="W39" s="705">
        <f t="shared" si="14"/>
        <v>100</v>
      </c>
      <c r="X39" s="1354"/>
      <c r="Y39" s="3735"/>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33"/>
      <c r="Q40" s="1351" t="str">
        <f t="shared" si="11"/>
        <v>房型</v>
      </c>
      <c r="R40" s="704" t="s">
        <v>18</v>
      </c>
      <c r="S40" s="705">
        <f t="shared" si="12"/>
        <v>100</v>
      </c>
      <c r="T40" s="704" t="s">
        <v>18</v>
      </c>
      <c r="U40" s="705">
        <f t="shared" si="13"/>
        <v>100</v>
      </c>
      <c r="V40" s="704" t="s">
        <v>18</v>
      </c>
      <c r="W40" s="705">
        <f t="shared" si="14"/>
        <v>100</v>
      </c>
      <c r="X40" s="1354"/>
      <c r="Y40" s="3735"/>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33"/>
      <c r="Q41" s="706" t="str">
        <f t="shared" si="11"/>
        <v>单套/主力户型建筑面积</v>
      </c>
      <c r="R41" s="707" t="s">
        <v>18</v>
      </c>
      <c r="S41" s="708">
        <f t="shared" si="12"/>
        <v>100</v>
      </c>
      <c r="T41" s="707" t="s">
        <v>18</v>
      </c>
      <c r="U41" s="708">
        <f t="shared" si="13"/>
        <v>100</v>
      </c>
      <c r="V41" s="707" t="s">
        <v>18</v>
      </c>
      <c r="W41" s="708">
        <f t="shared" si="14"/>
        <v>100</v>
      </c>
      <c r="X41" s="709"/>
      <c r="Y41" s="3735"/>
      <c r="Z41" s="710"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33"/>
      <c r="Q42" s="1351" t="str">
        <f t="shared" si="11"/>
        <v>内部装修</v>
      </c>
      <c r="R42" s="704" t="s">
        <v>18</v>
      </c>
      <c r="S42" s="705">
        <f t="shared" si="12"/>
        <v>100</v>
      </c>
      <c r="T42" s="704" t="s">
        <v>18</v>
      </c>
      <c r="U42" s="705">
        <f t="shared" si="13"/>
        <v>100</v>
      </c>
      <c r="V42" s="704" t="s">
        <v>18</v>
      </c>
      <c r="W42" s="705">
        <f t="shared" si="14"/>
        <v>100</v>
      </c>
      <c r="X42" s="1354"/>
      <c r="Y42" s="3735"/>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33"/>
      <c r="Q43" s="1351" t="str">
        <f t="shared" si="11"/>
        <v>内部装修维护情况</v>
      </c>
      <c r="R43" s="704" t="s">
        <v>18</v>
      </c>
      <c r="S43" s="705">
        <f t="shared" si="12"/>
        <v>100</v>
      </c>
      <c r="T43" s="704" t="s">
        <v>18</v>
      </c>
      <c r="U43" s="705">
        <f t="shared" si="13"/>
        <v>100</v>
      </c>
      <c r="V43" s="704" t="s">
        <v>18</v>
      </c>
      <c r="W43" s="705">
        <f t="shared" si="14"/>
        <v>100</v>
      </c>
      <c r="X43" s="1354"/>
      <c r="Y43" s="373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33"/>
      <c r="Q44" s="1342">
        <f t="shared" si="11"/>
        <v>111</v>
      </c>
      <c r="R44" s="700" t="s">
        <v>18</v>
      </c>
      <c r="S44" s="701">
        <f t="shared" si="12"/>
        <v>100</v>
      </c>
      <c r="T44" s="700" t="s">
        <v>18</v>
      </c>
      <c r="U44" s="701">
        <f t="shared" si="13"/>
        <v>100</v>
      </c>
      <c r="V44" s="700" t="s">
        <v>18</v>
      </c>
      <c r="W44" s="701">
        <f t="shared" si="14"/>
        <v>100</v>
      </c>
      <c r="X44" s="702"/>
      <c r="Y44" s="373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3"/>
      <c r="Q45" s="1351">
        <f t="shared" si="11"/>
        <v>111</v>
      </c>
      <c r="R45" s="704" t="s">
        <v>18</v>
      </c>
      <c r="S45" s="705">
        <f t="shared" si="12"/>
        <v>100</v>
      </c>
      <c r="T45" s="704" t="s">
        <v>18</v>
      </c>
      <c r="U45" s="705">
        <f t="shared" si="13"/>
        <v>100</v>
      </c>
      <c r="V45" s="704" t="s">
        <v>18</v>
      </c>
      <c r="W45" s="705">
        <f t="shared" si="14"/>
        <v>100</v>
      </c>
      <c r="X45" s="1354"/>
      <c r="Y45" s="373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34"/>
      <c r="Q46" s="1351">
        <f t="shared" si="11"/>
        <v>111</v>
      </c>
      <c r="R46" s="704" t="s">
        <v>17</v>
      </c>
      <c r="S46" s="705">
        <f t="shared" si="12"/>
        <v>100</v>
      </c>
      <c r="T46" s="704" t="s">
        <v>17</v>
      </c>
      <c r="U46" s="705">
        <f t="shared" si="13"/>
        <v>100</v>
      </c>
      <c r="V46" s="704" t="s">
        <v>17</v>
      </c>
      <c r="W46" s="705">
        <f t="shared" si="14"/>
        <v>100</v>
      </c>
      <c r="X46" s="1354"/>
      <c r="Y46" s="3736"/>
      <c r="Z46" s="1355">
        <f t="shared" si="18"/>
        <v>111</v>
      </c>
      <c r="AA46" s="1352">
        <f t="shared" si="15"/>
        <v>1</v>
      </c>
      <c r="AB46" s="1352">
        <f t="shared" si="16"/>
        <v>1</v>
      </c>
      <c r="AC46" s="1352">
        <f t="shared" si="17"/>
        <v>1</v>
      </c>
    </row>
    <row r="47" spans="1:29" ht="15">
      <c r="A47" s="430" t="s">
        <v>1705</v>
      </c>
      <c r="B47" s="431"/>
      <c r="C47" s="1153" t="s">
        <v>16</v>
      </c>
      <c r="D47" s="1154"/>
      <c r="E47" s="1155"/>
      <c r="F47" s="1156"/>
      <c r="G47" s="1157"/>
      <c r="H47" s="1158"/>
      <c r="I47" s="1155"/>
      <c r="J47" s="1158"/>
      <c r="K47" s="1913"/>
      <c r="L47" s="2722"/>
      <c r="M47" s="2723"/>
      <c r="N47" s="2714"/>
      <c r="O47" s="2723"/>
      <c r="P47" s="3737" t="str">
        <f>A47</f>
        <v>成交单价（元/平方米）</v>
      </c>
      <c r="Q47" s="3737"/>
      <c r="R47" s="3738">
        <f>E47</f>
        <v>0</v>
      </c>
      <c r="S47" s="3738"/>
      <c r="T47" s="3738">
        <f>G47</f>
        <v>0</v>
      </c>
      <c r="U47" s="3738"/>
      <c r="V47" s="3738">
        <f>I47</f>
        <v>0</v>
      </c>
      <c r="W47" s="3738"/>
      <c r="X47" s="689"/>
      <c r="Y47" s="711"/>
      <c r="Z47" s="689"/>
      <c r="AA47" s="689"/>
      <c r="AB47" s="689"/>
      <c r="AC47" s="689"/>
    </row>
    <row r="48" spans="1:29" ht="15.75" thickBot="1">
      <c r="A48" s="437" t="s">
        <v>1706</v>
      </c>
      <c r="B48" s="438"/>
      <c r="C48" s="1159" t="e">
        <f>R49</f>
        <v>#DIV/0!</v>
      </c>
      <c r="D48" s="2316" t="s">
        <v>2134</v>
      </c>
      <c r="E48" s="1160" t="e">
        <f>R48</f>
        <v>#DIV/0!</v>
      </c>
      <c r="F48" s="2317"/>
      <c r="G48" s="1159" t="e">
        <f>T48</f>
        <v>#DIV/0!</v>
      </c>
      <c r="H48" s="2317"/>
      <c r="I48" s="1160" t="e">
        <f>V48</f>
        <v>#DIV/0!</v>
      </c>
      <c r="J48" s="2317"/>
      <c r="K48" s="2318">
        <f>F48+H48+J48</f>
        <v>0</v>
      </c>
      <c r="L48" s="2722"/>
      <c r="M48" s="2723"/>
      <c r="N48" s="2723"/>
      <c r="O48" s="2723"/>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89"/>
      <c r="Y48" s="689"/>
      <c r="Z48" s="689"/>
      <c r="AA48" s="689"/>
      <c r="AB48" s="689"/>
      <c r="AC48" s="689"/>
    </row>
    <row r="49" spans="1:29" ht="15.75" thickBot="1">
      <c r="A49" s="441" t="s">
        <v>1707</v>
      </c>
      <c r="B49" s="442"/>
      <c r="C49" s="1161" t="e">
        <f>R49</f>
        <v>#DIV/0!</v>
      </c>
      <c r="D49" s="1162"/>
      <c r="E49" s="1162"/>
      <c r="F49" s="1162"/>
      <c r="G49" s="1162"/>
      <c r="H49" s="1162"/>
      <c r="I49" s="1162"/>
      <c r="J49" s="1162"/>
      <c r="K49" s="1914"/>
      <c r="L49" s="2722"/>
      <c r="M49" s="2723"/>
      <c r="N49" s="2723"/>
      <c r="O49" s="2723"/>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1711</v>
      </c>
      <c r="B57" s="689"/>
      <c r="C57" s="694"/>
      <c r="D57" s="694"/>
      <c r="E57" s="694"/>
      <c r="F57" s="695"/>
      <c r="G57" s="695"/>
      <c r="H57" s="694"/>
      <c r="I57" s="694"/>
      <c r="J57" s="694"/>
      <c r="K57" s="940"/>
      <c r="L57" s="941"/>
      <c r="M57" s="939"/>
      <c r="N57" s="939"/>
      <c r="O57" s="939"/>
      <c r="P57" s="1917"/>
      <c r="Q57" s="453"/>
    </row>
    <row r="58" spans="1:29" s="457" customFormat="1" ht="15">
      <c r="A58" s="454" t="s">
        <v>1712</v>
      </c>
      <c r="B58" s="455"/>
      <c r="C58" s="1185" t="str">
        <f>YEAR(C7)&amp;"-"&amp;MONTH(C7)</f>
        <v>2025-10</v>
      </c>
      <c r="D58" s="1184">
        <f>EDATE(C58,-1)</f>
        <v>45901</v>
      </c>
      <c r="E58" s="1184">
        <f>EDATE(D58,-1)</f>
        <v>45870</v>
      </c>
      <c r="F58" s="1184">
        <f t="shared" ref="F58:O58" si="19">EDATE(E58,-1)</f>
        <v>45839</v>
      </c>
      <c r="G58" s="1184">
        <f t="shared" si="19"/>
        <v>45809</v>
      </c>
      <c r="H58" s="1184">
        <f t="shared" si="19"/>
        <v>45778</v>
      </c>
      <c r="I58" s="1184">
        <f t="shared" si="19"/>
        <v>45748</v>
      </c>
      <c r="J58" s="1184">
        <f t="shared" si="19"/>
        <v>45717</v>
      </c>
      <c r="K58" s="1184">
        <f t="shared" si="19"/>
        <v>45689</v>
      </c>
      <c r="L58" s="1184">
        <f t="shared" si="19"/>
        <v>45658</v>
      </c>
      <c r="M58" s="1184">
        <f t="shared" si="19"/>
        <v>45627</v>
      </c>
      <c r="N58" s="1184">
        <f t="shared" si="19"/>
        <v>45597</v>
      </c>
      <c r="O58" s="1184">
        <f t="shared" si="19"/>
        <v>45566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1716</v>
      </c>
      <c r="B63" s="477" t="s">
        <v>1682</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1685</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1725</v>
      </c>
      <c r="D82" s="488" t="s">
        <v>1726</v>
      </c>
      <c r="E82" s="488" t="s">
        <v>1727</v>
      </c>
      <c r="F82" s="488" t="s">
        <v>1728</v>
      </c>
      <c r="G82" s="488" t="s">
        <v>1729</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1731</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1732</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1691</v>
      </c>
      <c r="B100" s="477" t="s">
        <v>1733</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1735</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1736</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1737</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1738</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1739</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1740</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1741</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6">
        <v>6</v>
      </c>
      <c r="C139" s="867">
        <v>96</v>
      </c>
      <c r="D139" s="1939" t="s">
        <v>1752</v>
      </c>
      <c r="E139" s="868">
        <v>100</v>
      </c>
      <c r="F139" s="869">
        <v>102.5</v>
      </c>
      <c r="G139" s="1939" t="s">
        <v>1752</v>
      </c>
      <c r="H139" s="870">
        <v>105</v>
      </c>
      <c r="I139" s="1940" t="s">
        <v>1753</v>
      </c>
      <c r="J139" s="867">
        <v>20</v>
      </c>
      <c r="K139" s="871">
        <f>C145/(J139-2)</f>
        <v>4.0555555555555553E-3</v>
      </c>
    </row>
    <row r="140" spans="1:17" ht="15">
      <c r="B140" s="872">
        <v>5</v>
      </c>
      <c r="C140" s="873">
        <v>100</v>
      </c>
      <c r="D140" s="873"/>
      <c r="E140" s="874"/>
      <c r="F140" s="875">
        <v>102</v>
      </c>
      <c r="G140" s="873"/>
      <c r="H140" s="876"/>
      <c r="I140" s="1941" t="s">
        <v>1754</v>
      </c>
      <c r="J140" s="271">
        <f>ROUNDUP((J139-1)/2,0)</f>
        <v>10</v>
      </c>
      <c r="K140" s="877">
        <v>100</v>
      </c>
    </row>
    <row r="141" spans="1:17" ht="15">
      <c r="B141" s="872">
        <v>4</v>
      </c>
      <c r="C141" s="873">
        <v>102</v>
      </c>
      <c r="D141" s="873"/>
      <c r="E141" s="874"/>
      <c r="F141" s="875">
        <v>101.5</v>
      </c>
      <c r="G141" s="873"/>
      <c r="H141" s="876"/>
      <c r="I141" s="1941" t="s">
        <v>1755</v>
      </c>
      <c r="J141" s="271">
        <v>1</v>
      </c>
      <c r="K141" s="878">
        <f>ROUND(100+(J141-J140)*K139*100,1)</f>
        <v>96.4</v>
      </c>
    </row>
    <row r="142" spans="1:17" ht="15">
      <c r="B142" s="872">
        <v>3</v>
      </c>
      <c r="C142" s="873">
        <v>103</v>
      </c>
      <c r="D142" s="873"/>
      <c r="E142" s="874"/>
      <c r="F142" s="875">
        <v>101</v>
      </c>
      <c r="G142" s="873"/>
      <c r="H142" s="876"/>
      <c r="I142" s="1941" t="s">
        <v>1756</v>
      </c>
      <c r="J142" s="271">
        <f>J139</f>
        <v>20</v>
      </c>
      <c r="K142" s="879">
        <v>95</v>
      </c>
    </row>
    <row r="143" spans="1:17" ht="15">
      <c r="B143" s="872">
        <v>2</v>
      </c>
      <c r="C143" s="873">
        <v>100</v>
      </c>
      <c r="D143" s="873"/>
      <c r="E143" s="874"/>
      <c r="F143" s="875">
        <v>100.5</v>
      </c>
      <c r="G143" s="873"/>
      <c r="H143" s="876"/>
      <c r="I143" s="1941" t="s">
        <v>1757</v>
      </c>
      <c r="J143" s="873">
        <v>15</v>
      </c>
      <c r="K143" s="878">
        <f>ROUND(100+(J143-J140)*K139*100,1)</f>
        <v>102</v>
      </c>
    </row>
    <row r="144" spans="1:17" ht="15">
      <c r="B144" s="872">
        <v>1</v>
      </c>
      <c r="C144" s="873">
        <v>98</v>
      </c>
      <c r="D144" s="1942" t="s">
        <v>1758</v>
      </c>
      <c r="E144" s="874">
        <v>102</v>
      </c>
      <c r="F144" s="880">
        <v>100</v>
      </c>
      <c r="G144" s="1942" t="s">
        <v>1758</v>
      </c>
      <c r="H144" s="876">
        <v>105</v>
      </c>
      <c r="I144" s="1941" t="s">
        <v>1757</v>
      </c>
      <c r="J144" s="873">
        <v>18</v>
      </c>
      <c r="K144" s="878">
        <f>ROUND(100+(J144-J140)*K139*100,1)</f>
        <v>103.2</v>
      </c>
    </row>
    <row r="145" spans="2:11" ht="15.75" thickBot="1">
      <c r="B145" s="1943" t="s">
        <v>1759</v>
      </c>
      <c r="C145" s="881">
        <f>ROUND(MAX(C139:C144)/MIN(C139:C144)-1,3)</f>
        <v>7.2999999999999995E-2</v>
      </c>
      <c r="D145" s="882"/>
      <c r="E145" s="882"/>
      <c r="F145" s="1944" t="s">
        <v>1760</v>
      </c>
      <c r="G145" s="1945"/>
      <c r="H145" s="1946"/>
      <c r="I145" s="1947" t="s">
        <v>1757</v>
      </c>
      <c r="J145" s="883">
        <v>8</v>
      </c>
      <c r="K145" s="884">
        <f>ROUND(100+(J145-J140)*K139*100,1)</f>
        <v>99.2</v>
      </c>
    </row>
    <row r="147" spans="2:11">
      <c r="B147" s="1928" t="s">
        <v>1761</v>
      </c>
    </row>
    <row r="148" spans="2:11">
      <c r="B148" s="1928"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受贵公司委托，我公司对北京市西城区金融大街27号7层A座701等[5]套办公用房房地产抵押价值进行了预评估。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估价对象为北京市西城区金融大街27号7层A座701等[5]套办公用房房地产，为所有。根据《国有土地使用证》[]，估价对象（分摊）出让国有建设用地使用权面积为62.48平方米，建筑面积为571.24平方米。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金融大街27号7层A座701等[5]套办公用房房地产,属开发建设的办公项目，该项目尚在开发建设中。根据《国有土地使用证》[]，估价对象（分摊）出让国有建设用地使用权面积为62.48平方米，规划建筑面积为571.24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西城区金融大街27号7层A座701等[5]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2025年10月10日（评估专业人员实地查勘之日）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4"/>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1461</v>
      </c>
      <c r="B3" s="558">
        <f>IF(C2="——",C49,ROUND(B2*10000/D3,0))</f>
        <v>0</v>
      </c>
      <c r="C3" s="354" t="s">
        <v>1765</v>
      </c>
      <c r="D3" s="353">
        <f>IF(D1="",'数据-汇总表'!E3,SUMIF('数据-汇总表'!$C19:$C33,D1,'数据-汇总表'!$E19:$E33))</f>
        <v>571.24</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1766</v>
      </c>
      <c r="B4" s="356"/>
      <c r="C4" s="3712" t="s">
        <v>1767</v>
      </c>
      <c r="D4" s="3713"/>
      <c r="E4" s="3714" t="s">
        <v>1768</v>
      </c>
      <c r="F4" s="3715"/>
      <c r="G4" s="3712" t="s">
        <v>1769</v>
      </c>
      <c r="H4" s="3713"/>
      <c r="I4" s="3712" t="s">
        <v>1770</v>
      </c>
      <c r="J4" s="3713"/>
      <c r="K4" s="559" t="s">
        <v>1771</v>
      </c>
      <c r="L4" s="2713"/>
      <c r="M4" s="2714"/>
      <c r="N4" s="2714"/>
      <c r="O4" s="2714"/>
      <c r="P4" s="3768" t="s">
        <v>1772</v>
      </c>
      <c r="Q4" s="3769"/>
      <c r="R4" s="3764" t="s">
        <v>1768</v>
      </c>
      <c r="S4" s="3765"/>
      <c r="T4" s="3764" t="s">
        <v>1769</v>
      </c>
      <c r="U4" s="3765"/>
      <c r="V4" s="3725" t="s">
        <v>1770</v>
      </c>
      <c r="W4" s="3725"/>
      <c r="X4" s="1354"/>
      <c r="Y4" s="3764" t="s">
        <v>1772</v>
      </c>
      <c r="Z4" s="3765"/>
      <c r="AA4" s="3763" t="s">
        <v>1768</v>
      </c>
      <c r="AB4" s="3725" t="s">
        <v>1769</v>
      </c>
      <c r="AC4" s="3763" t="s">
        <v>1770</v>
      </c>
    </row>
    <row r="5" spans="1:29" ht="15">
      <c r="A5" s="358"/>
      <c r="B5" s="359"/>
      <c r="C5" s="3767" t="s">
        <v>1670</v>
      </c>
      <c r="D5" s="3703"/>
      <c r="E5" s="3766" t="s">
        <v>1671</v>
      </c>
      <c r="F5" s="3701"/>
      <c r="G5" s="3767" t="s">
        <v>1672</v>
      </c>
      <c r="H5" s="3703"/>
      <c r="I5" s="3767" t="s">
        <v>1673</v>
      </c>
      <c r="J5" s="3703"/>
      <c r="K5" s="559"/>
      <c r="L5" s="2713"/>
      <c r="M5" s="2714"/>
      <c r="N5" s="2714"/>
      <c r="O5" s="2714"/>
      <c r="P5" s="3770"/>
      <c r="Q5" s="3719"/>
      <c r="R5" s="3698"/>
      <c r="S5" s="3699"/>
      <c r="T5" s="3698"/>
      <c r="U5" s="3699"/>
      <c r="V5" s="3725"/>
      <c r="W5" s="3725"/>
      <c r="X5" s="1354"/>
      <c r="Y5" s="3698"/>
      <c r="Z5" s="3699"/>
      <c r="AA5" s="3692"/>
      <c r="AB5" s="3725"/>
      <c r="AC5" s="3692"/>
    </row>
    <row r="6" spans="1:29" ht="15.75" thickBot="1">
      <c r="A6" s="360"/>
      <c r="B6" s="361"/>
      <c r="C6" s="3704" t="s">
        <v>1674</v>
      </c>
      <c r="D6" s="3705"/>
      <c r="E6" s="3706" t="s">
        <v>1674</v>
      </c>
      <c r="F6" s="3707"/>
      <c r="G6" s="3704" t="s">
        <v>1674</v>
      </c>
      <c r="H6" s="3705"/>
      <c r="I6" s="3704" t="s">
        <v>1674</v>
      </c>
      <c r="J6" s="3705"/>
      <c r="K6" s="559" t="s">
        <v>1675</v>
      </c>
      <c r="L6" s="2713"/>
      <c r="M6" s="2714"/>
      <c r="N6" s="2714"/>
      <c r="O6" s="2714"/>
      <c r="P6" s="3771"/>
      <c r="Q6" s="3721"/>
      <c r="R6" s="3698"/>
      <c r="S6" s="3699"/>
      <c r="T6" s="3722"/>
      <c r="U6" s="3723"/>
      <c r="V6" s="3725"/>
      <c r="W6" s="3725"/>
      <c r="X6" s="1354"/>
      <c r="Y6" s="3722"/>
      <c r="Z6" s="3723"/>
      <c r="AA6" s="3693"/>
      <c r="AB6" s="3725"/>
      <c r="AC6" s="3693"/>
    </row>
    <row r="7" spans="1:29" s="108" customFormat="1" ht="15.75" thickBot="1">
      <c r="A7" s="362" t="s">
        <v>1676</v>
      </c>
      <c r="B7" s="363"/>
      <c r="C7" s="364">
        <f>'数据-取费表'!B2</f>
        <v>45940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4" t="s">
        <v>1677</v>
      </c>
      <c r="Q7" s="3727"/>
      <c r="R7" s="700" t="s">
        <v>14</v>
      </c>
      <c r="S7" s="701">
        <f t="shared" ref="S7:S15" si="0">F7</f>
        <v>0</v>
      </c>
      <c r="T7" s="700" t="s">
        <v>14</v>
      </c>
      <c r="U7" s="701">
        <f t="shared" ref="U7:U15" si="1">H7</f>
        <v>0</v>
      </c>
      <c r="V7" s="700" t="s">
        <v>14</v>
      </c>
      <c r="W7" s="701">
        <f t="shared" ref="W7:W15" si="2">J7</f>
        <v>0</v>
      </c>
      <c r="X7" s="702"/>
      <c r="Y7" s="3694" t="s">
        <v>1677</v>
      </c>
      <c r="Z7" s="3695"/>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4" t="s">
        <v>1680</v>
      </c>
      <c r="Q8" s="3695"/>
      <c r="R8" s="700" t="s">
        <v>14</v>
      </c>
      <c r="S8" s="701">
        <f t="shared" si="0"/>
        <v>100</v>
      </c>
      <c r="T8" s="700" t="s">
        <v>14</v>
      </c>
      <c r="U8" s="701">
        <f t="shared" si="1"/>
        <v>100</v>
      </c>
      <c r="V8" s="700" t="s">
        <v>14</v>
      </c>
      <c r="W8" s="701">
        <f t="shared" si="2"/>
        <v>100</v>
      </c>
      <c r="X8" s="702"/>
      <c r="Y8" s="3694" t="s">
        <v>1680</v>
      </c>
      <c r="Z8" s="3695"/>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8" t="s">
        <v>1683</v>
      </c>
      <c r="Q9" s="1342" t="str">
        <f t="shared" ref="Q9:Q15" si="6">B9</f>
        <v>用途</v>
      </c>
      <c r="R9" s="700" t="s">
        <v>14</v>
      </c>
      <c r="S9" s="701">
        <f t="shared" si="0"/>
        <v>100</v>
      </c>
      <c r="T9" s="700" t="s">
        <v>14</v>
      </c>
      <c r="U9" s="701">
        <f t="shared" si="1"/>
        <v>100</v>
      </c>
      <c r="V9" s="700" t="s">
        <v>14</v>
      </c>
      <c r="W9" s="701">
        <f t="shared" si="2"/>
        <v>100</v>
      </c>
      <c r="X9" s="702"/>
      <c r="Y9" s="3659" t="s">
        <v>1684</v>
      </c>
      <c r="Z9" s="52" t="str">
        <f t="shared" ref="Z9:Z15" si="7">Q9</f>
        <v>用途</v>
      </c>
      <c r="AA9" s="703">
        <f t="shared" si="3"/>
        <v>1</v>
      </c>
      <c r="AB9" s="703">
        <f t="shared" si="4"/>
        <v>1</v>
      </c>
      <c r="AC9" s="703">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8"/>
      <c r="Q10" s="1342" t="str">
        <f t="shared" si="6"/>
        <v>土地使用年限（年）</v>
      </c>
      <c r="R10" s="700" t="s">
        <v>14</v>
      </c>
      <c r="S10" s="701">
        <f t="shared" si="0"/>
        <v>100</v>
      </c>
      <c r="T10" s="700" t="s">
        <v>14</v>
      </c>
      <c r="U10" s="701">
        <f t="shared" si="1"/>
        <v>100</v>
      </c>
      <c r="V10" s="700" t="s">
        <v>14</v>
      </c>
      <c r="W10" s="701">
        <f t="shared" si="2"/>
        <v>100</v>
      </c>
      <c r="X10" s="702"/>
      <c r="Y10" s="3659"/>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8"/>
      <c r="Q11" s="1342" t="str">
        <f t="shared" si="6"/>
        <v>容积率</v>
      </c>
      <c r="R11" s="700" t="s">
        <v>14</v>
      </c>
      <c r="S11" s="701" t="e">
        <f t="shared" si="0"/>
        <v>#N/A</v>
      </c>
      <c r="T11" s="700" t="s">
        <v>14</v>
      </c>
      <c r="U11" s="701" t="e">
        <f t="shared" si="1"/>
        <v>#N/A</v>
      </c>
      <c r="V11" s="700" t="s">
        <v>14</v>
      </c>
      <c r="W11" s="701" t="e">
        <f t="shared" si="2"/>
        <v>#N/A</v>
      </c>
      <c r="X11" s="702"/>
      <c r="Y11" s="3659"/>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8"/>
      <c r="Q12" s="1342">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8"/>
      <c r="Q13" s="1342">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8"/>
      <c r="Q14" s="1342">
        <f t="shared" si="6"/>
        <v>111</v>
      </c>
      <c r="R14" s="700" t="s">
        <v>14</v>
      </c>
      <c r="S14" s="701">
        <f t="shared" si="0"/>
        <v>100</v>
      </c>
      <c r="T14" s="700" t="s">
        <v>14</v>
      </c>
      <c r="U14" s="701">
        <f t="shared" si="1"/>
        <v>100</v>
      </c>
      <c r="V14" s="700" t="s">
        <v>14</v>
      </c>
      <c r="W14" s="701">
        <f t="shared" si="2"/>
        <v>100</v>
      </c>
      <c r="X14" s="702"/>
      <c r="Y14" s="3659"/>
      <c r="Z14" s="52">
        <f t="shared" si="7"/>
        <v>111</v>
      </c>
      <c r="AA14" s="703">
        <f t="shared" si="3"/>
        <v>1</v>
      </c>
      <c r="AB14" s="703">
        <f t="shared" si="4"/>
        <v>1</v>
      </c>
      <c r="AC14" s="703">
        <f t="shared" si="5"/>
        <v>1</v>
      </c>
    </row>
    <row r="15" spans="1:29" ht="71.25">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8" t="s">
        <v>1688</v>
      </c>
      <c r="Q15" s="1351" t="str">
        <f t="shared" si="6"/>
        <v>商业繁华度</v>
      </c>
      <c r="R15" s="704" t="s">
        <v>14</v>
      </c>
      <c r="S15" s="705">
        <f t="shared" si="0"/>
        <v>100</v>
      </c>
      <c r="T15" s="704" t="s">
        <v>14</v>
      </c>
      <c r="U15" s="705">
        <f t="shared" si="1"/>
        <v>100</v>
      </c>
      <c r="V15" s="704" t="s">
        <v>14</v>
      </c>
      <c r="W15" s="705">
        <f t="shared" si="2"/>
        <v>100</v>
      </c>
      <c r="X15" s="1354"/>
      <c r="Y15" s="3730"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29"/>
      <c r="Q16" s="1351"/>
      <c r="R16" s="704"/>
      <c r="S16" s="705"/>
      <c r="T16" s="704"/>
      <c r="U16" s="705"/>
      <c r="V16" s="704"/>
      <c r="W16" s="705"/>
      <c r="X16" s="1354"/>
      <c r="Y16" s="373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9"/>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29"/>
      <c r="Q18" s="1351"/>
      <c r="R18" s="704"/>
      <c r="S18" s="705"/>
      <c r="T18" s="704"/>
      <c r="U18" s="705"/>
      <c r="V18" s="704"/>
      <c r="W18" s="705"/>
      <c r="X18" s="1354"/>
      <c r="Y18" s="3731"/>
      <c r="Z18" s="1355"/>
      <c r="AA18" s="1352">
        <v>1</v>
      </c>
      <c r="AB18" s="1352">
        <v>1</v>
      </c>
      <c r="AC18" s="1352">
        <v>1</v>
      </c>
    </row>
    <row r="19" spans="1:29" ht="42.75">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9"/>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29"/>
      <c r="Q20" s="1351"/>
      <c r="R20" s="704"/>
      <c r="S20" s="705"/>
      <c r="T20" s="704"/>
      <c r="U20" s="705"/>
      <c r="V20" s="704"/>
      <c r="W20" s="705"/>
      <c r="X20" s="1354"/>
      <c r="Y20" s="3731"/>
      <c r="Z20" s="1355"/>
      <c r="AA20" s="1352">
        <v>1</v>
      </c>
      <c r="AB20" s="1352">
        <v>1</v>
      </c>
      <c r="AC20" s="1352">
        <v>1</v>
      </c>
    </row>
    <row r="21" spans="1:29" ht="28.5">
      <c r="A21" s="379"/>
      <c r="B21" s="1130"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9"/>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29"/>
      <c r="Q22" s="1351"/>
      <c r="R22" s="704"/>
      <c r="S22" s="705"/>
      <c r="T22" s="704"/>
      <c r="U22" s="705"/>
      <c r="V22" s="704"/>
      <c r="W22" s="705"/>
      <c r="X22" s="1354"/>
      <c r="Y22" s="373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9"/>
      <c r="Q23" s="1351" t="str">
        <f>B23</f>
        <v>自然及人文环境</v>
      </c>
      <c r="R23" s="704" t="s">
        <v>14</v>
      </c>
      <c r="S23" s="705">
        <f>F23</f>
        <v>100</v>
      </c>
      <c r="T23" s="704" t="s">
        <v>14</v>
      </c>
      <c r="U23" s="705">
        <f>H23</f>
        <v>100</v>
      </c>
      <c r="V23" s="704" t="s">
        <v>14</v>
      </c>
      <c r="W23" s="705">
        <f>J23</f>
        <v>100</v>
      </c>
      <c r="X23" s="1354"/>
      <c r="Y23" s="373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29"/>
      <c r="Q24" s="1351"/>
      <c r="R24" s="704"/>
      <c r="S24" s="705"/>
      <c r="T24" s="704"/>
      <c r="U24" s="705"/>
      <c r="V24" s="704"/>
      <c r="W24" s="705"/>
      <c r="X24" s="1354"/>
      <c r="Y24" s="3731"/>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9"/>
      <c r="Q25" s="1351" t="str">
        <f t="shared" ref="Q25:Q46" si="11">B25</f>
        <v>临街状况</v>
      </c>
      <c r="R25" s="704" t="s">
        <v>14</v>
      </c>
      <c r="S25" s="705">
        <f>F25</f>
        <v>100</v>
      </c>
      <c r="T25" s="704" t="s">
        <v>14</v>
      </c>
      <c r="U25" s="705">
        <f>H25</f>
        <v>100</v>
      </c>
      <c r="V25" s="704" t="s">
        <v>14</v>
      </c>
      <c r="W25" s="705">
        <f>J25</f>
        <v>100</v>
      </c>
      <c r="X25" s="1354"/>
      <c r="Y25" s="3731"/>
      <c r="Z25" s="1355" t="str">
        <f>Q25</f>
        <v>临街状况</v>
      </c>
      <c r="AA25" s="1352">
        <f t="shared" si="3"/>
        <v>1</v>
      </c>
      <c r="AB25" s="1352">
        <f t="shared" si="4"/>
        <v>1</v>
      </c>
      <c r="AC25" s="1352">
        <f t="shared" si="5"/>
        <v>1</v>
      </c>
    </row>
    <row r="26" spans="1:29" ht="15">
      <c r="A26" s="379"/>
      <c r="B26" s="1132" t="s">
        <v>1778</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9"/>
      <c r="Q26" s="1351" t="str">
        <f t="shared" si="11"/>
        <v>平面位置/可视性</v>
      </c>
      <c r="R26" s="704" t="s">
        <v>14</v>
      </c>
      <c r="S26" s="705">
        <f>F26</f>
        <v>100</v>
      </c>
      <c r="T26" s="704" t="s">
        <v>14</v>
      </c>
      <c r="U26" s="705">
        <f>H26</f>
        <v>100</v>
      </c>
      <c r="V26" s="704" t="s">
        <v>14</v>
      </c>
      <c r="W26" s="705">
        <f>J26</f>
        <v>100</v>
      </c>
      <c r="X26" s="1354"/>
      <c r="Y26" s="3731"/>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29"/>
      <c r="Q27" s="1342" t="str">
        <f t="shared" si="11"/>
        <v>人流量</v>
      </c>
      <c r="R27" s="700" t="s">
        <v>14</v>
      </c>
      <c r="S27" s="701">
        <f>F27</f>
        <v>100</v>
      </c>
      <c r="T27" s="700" t="s">
        <v>14</v>
      </c>
      <c r="U27" s="701">
        <f>H27</f>
        <v>100</v>
      </c>
      <c r="V27" s="700" t="s">
        <v>14</v>
      </c>
      <c r="W27" s="701">
        <f>J27</f>
        <v>100</v>
      </c>
      <c r="X27" s="702"/>
      <c r="Y27" s="3731"/>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9"/>
      <c r="Q29" s="1351">
        <f t="shared" si="11"/>
        <v>111</v>
      </c>
      <c r="R29" s="704" t="s">
        <v>14</v>
      </c>
      <c r="S29" s="705">
        <f t="shared" si="12"/>
        <v>100</v>
      </c>
      <c r="T29" s="704" t="s">
        <v>14</v>
      </c>
      <c r="U29" s="705">
        <f t="shared" si="13"/>
        <v>100</v>
      </c>
      <c r="V29" s="704" t="s">
        <v>14</v>
      </c>
      <c r="W29" s="705">
        <f t="shared" si="14"/>
        <v>100</v>
      </c>
      <c r="X29" s="1354"/>
      <c r="Y29" s="373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9"/>
      <c r="Q30" s="1351">
        <f t="shared" si="11"/>
        <v>111</v>
      </c>
      <c r="R30" s="704" t="s">
        <v>14</v>
      </c>
      <c r="S30" s="705">
        <f t="shared" si="12"/>
        <v>100</v>
      </c>
      <c r="T30" s="704" t="s">
        <v>14</v>
      </c>
      <c r="U30" s="705">
        <f t="shared" si="13"/>
        <v>100</v>
      </c>
      <c r="V30" s="704" t="s">
        <v>14</v>
      </c>
      <c r="W30" s="705">
        <f t="shared" si="14"/>
        <v>100</v>
      </c>
      <c r="X30" s="1354"/>
      <c r="Y30" s="373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9"/>
      <c r="Q31" s="1351">
        <f t="shared" si="11"/>
        <v>111</v>
      </c>
      <c r="R31" s="704" t="s">
        <v>14</v>
      </c>
      <c r="S31" s="705">
        <f t="shared" si="12"/>
        <v>100</v>
      </c>
      <c r="T31" s="704" t="s">
        <v>14</v>
      </c>
      <c r="U31" s="705">
        <f t="shared" si="13"/>
        <v>100</v>
      </c>
      <c r="V31" s="704" t="s">
        <v>14</v>
      </c>
      <c r="W31" s="705">
        <f t="shared" si="14"/>
        <v>100</v>
      </c>
      <c r="X31" s="1354"/>
      <c r="Y31" s="3731"/>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32" t="s">
        <v>1693</v>
      </c>
      <c r="Q32" s="1351" t="str">
        <f t="shared" si="11"/>
        <v>商业类型</v>
      </c>
      <c r="R32" s="704" t="s">
        <v>14</v>
      </c>
      <c r="S32" s="705">
        <f t="shared" si="12"/>
        <v>100</v>
      </c>
      <c r="T32" s="704" t="s">
        <v>14</v>
      </c>
      <c r="U32" s="705">
        <f t="shared" si="13"/>
        <v>100</v>
      </c>
      <c r="V32" s="704" t="s">
        <v>14</v>
      </c>
      <c r="W32" s="705">
        <f t="shared" si="14"/>
        <v>100</v>
      </c>
      <c r="X32" s="1354"/>
      <c r="Y32" s="3735"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3"/>
      <c r="Q33" s="706" t="str">
        <f t="shared" si="11"/>
        <v>项目建筑规模</v>
      </c>
      <c r="R33" s="707" t="s">
        <v>14</v>
      </c>
      <c r="S33" s="708" t="e">
        <f t="shared" si="12"/>
        <v>#N/A</v>
      </c>
      <c r="T33" s="707" t="s">
        <v>14</v>
      </c>
      <c r="U33" s="708" t="e">
        <f t="shared" si="13"/>
        <v>#N/A</v>
      </c>
      <c r="V33" s="707" t="s">
        <v>14</v>
      </c>
      <c r="W33" s="708" t="e">
        <f t="shared" si="14"/>
        <v>#N/A</v>
      </c>
      <c r="X33" s="709"/>
      <c r="Y33" s="3735"/>
      <c r="Z33" s="710"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33"/>
      <c r="Q34" s="1351" t="str">
        <f t="shared" si="11"/>
        <v>建筑结构</v>
      </c>
      <c r="R34" s="704" t="s">
        <v>14</v>
      </c>
      <c r="S34" s="705">
        <f t="shared" si="12"/>
        <v>100</v>
      </c>
      <c r="T34" s="704" t="s">
        <v>14</v>
      </c>
      <c r="U34" s="705">
        <f t="shared" si="13"/>
        <v>100</v>
      </c>
      <c r="V34" s="704" t="s">
        <v>14</v>
      </c>
      <c r="W34" s="705">
        <f t="shared" si="14"/>
        <v>100</v>
      </c>
      <c r="X34" s="1354"/>
      <c r="Y34" s="3735"/>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33"/>
      <c r="Q35" s="1351" t="str">
        <f t="shared" si="11"/>
        <v>公共部分装修</v>
      </c>
      <c r="R35" s="704" t="s">
        <v>14</v>
      </c>
      <c r="S35" s="705">
        <f t="shared" si="12"/>
        <v>100</v>
      </c>
      <c r="T35" s="704" t="s">
        <v>14</v>
      </c>
      <c r="U35" s="705">
        <f t="shared" si="13"/>
        <v>100</v>
      </c>
      <c r="V35" s="704" t="s">
        <v>14</v>
      </c>
      <c r="W35" s="705">
        <f t="shared" si="14"/>
        <v>100</v>
      </c>
      <c r="X35" s="1354"/>
      <c r="Y35" s="3735"/>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3"/>
      <c r="Q36" s="1351" t="str">
        <f t="shared" si="11"/>
        <v>成新度</v>
      </c>
      <c r="R36" s="704" t="s">
        <v>14</v>
      </c>
      <c r="S36" s="705" t="e">
        <f t="shared" si="12"/>
        <v>#N/A</v>
      </c>
      <c r="T36" s="704" t="s">
        <v>14</v>
      </c>
      <c r="U36" s="705" t="e">
        <f t="shared" si="13"/>
        <v>#N/A</v>
      </c>
      <c r="V36" s="704" t="s">
        <v>14</v>
      </c>
      <c r="W36" s="705" t="e">
        <f t="shared" si="14"/>
        <v>#N/A</v>
      </c>
      <c r="X36" s="1354"/>
      <c r="Y36" s="3735"/>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33"/>
      <c r="Q37" s="1342" t="str">
        <f t="shared" si="11"/>
        <v>市政基础设施</v>
      </c>
      <c r="R37" s="700" t="s">
        <v>14</v>
      </c>
      <c r="S37" s="701">
        <f t="shared" si="12"/>
        <v>100</v>
      </c>
      <c r="T37" s="700" t="s">
        <v>14</v>
      </c>
      <c r="U37" s="701">
        <f t="shared" si="13"/>
        <v>100</v>
      </c>
      <c r="V37" s="700" t="s">
        <v>14</v>
      </c>
      <c r="W37" s="701">
        <f t="shared" si="14"/>
        <v>100</v>
      </c>
      <c r="X37" s="702"/>
      <c r="Y37" s="3735"/>
      <c r="Z37" s="52" t="str">
        <f t="shared" si="15"/>
        <v>市政基础设施</v>
      </c>
      <c r="AA37" s="703">
        <f t="shared" si="3"/>
        <v>1</v>
      </c>
      <c r="AB37" s="703">
        <f t="shared" si="4"/>
        <v>1</v>
      </c>
      <c r="AC37" s="703">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33" t="s">
        <v>1693</v>
      </c>
      <c r="Q38" s="1351" t="str">
        <f t="shared" si="11"/>
        <v>业态</v>
      </c>
      <c r="R38" s="704" t="s">
        <v>14</v>
      </c>
      <c r="S38" s="705">
        <f t="shared" si="12"/>
        <v>100</v>
      </c>
      <c r="T38" s="704" t="s">
        <v>14</v>
      </c>
      <c r="U38" s="705">
        <f t="shared" si="13"/>
        <v>100</v>
      </c>
      <c r="V38" s="704" t="s">
        <v>14</v>
      </c>
      <c r="W38" s="705">
        <f t="shared" si="14"/>
        <v>100</v>
      </c>
      <c r="X38" s="1354"/>
      <c r="Y38" s="3735"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33"/>
      <c r="Q39" s="1351" t="str">
        <f t="shared" si="11"/>
        <v>层高</v>
      </c>
      <c r="R39" s="704" t="s">
        <v>14</v>
      </c>
      <c r="S39" s="705">
        <f t="shared" si="12"/>
        <v>100</v>
      </c>
      <c r="T39" s="704" t="s">
        <v>14</v>
      </c>
      <c r="U39" s="705">
        <f t="shared" si="13"/>
        <v>100</v>
      </c>
      <c r="V39" s="704" t="s">
        <v>14</v>
      </c>
      <c r="W39" s="705">
        <f t="shared" si="14"/>
        <v>100</v>
      </c>
      <c r="X39" s="1354"/>
      <c r="Y39" s="3735"/>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3"/>
      <c r="Q40" s="1351" t="str">
        <f t="shared" si="11"/>
        <v>单套建筑面积</v>
      </c>
      <c r="R40" s="704" t="s">
        <v>14</v>
      </c>
      <c r="S40" s="705">
        <f t="shared" si="12"/>
        <v>100</v>
      </c>
      <c r="T40" s="704" t="s">
        <v>14</v>
      </c>
      <c r="U40" s="705">
        <f t="shared" si="13"/>
        <v>100</v>
      </c>
      <c r="V40" s="704" t="s">
        <v>14</v>
      </c>
      <c r="W40" s="705">
        <f t="shared" si="14"/>
        <v>100</v>
      </c>
      <c r="X40" s="1354"/>
      <c r="Y40" s="3735"/>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3"/>
      <c r="Q41" s="706" t="str">
        <f t="shared" si="11"/>
        <v>进深比</v>
      </c>
      <c r="R41" s="707" t="s">
        <v>14</v>
      </c>
      <c r="S41" s="708">
        <f t="shared" si="12"/>
        <v>100</v>
      </c>
      <c r="T41" s="707" t="s">
        <v>14</v>
      </c>
      <c r="U41" s="708">
        <f t="shared" si="13"/>
        <v>100</v>
      </c>
      <c r="V41" s="707" t="s">
        <v>14</v>
      </c>
      <c r="W41" s="708">
        <f t="shared" si="14"/>
        <v>100</v>
      </c>
      <c r="X41" s="709"/>
      <c r="Y41" s="3735"/>
      <c r="Z41" s="710"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33"/>
      <c r="Q42" s="1351" t="str">
        <f t="shared" si="11"/>
        <v>内部装修</v>
      </c>
      <c r="R42" s="704" t="s">
        <v>14</v>
      </c>
      <c r="S42" s="705">
        <f t="shared" si="12"/>
        <v>100</v>
      </c>
      <c r="T42" s="704" t="s">
        <v>14</v>
      </c>
      <c r="U42" s="705">
        <f t="shared" si="13"/>
        <v>100</v>
      </c>
      <c r="V42" s="704" t="s">
        <v>14</v>
      </c>
      <c r="W42" s="705">
        <f t="shared" si="14"/>
        <v>100</v>
      </c>
      <c r="X42" s="1354"/>
      <c r="Y42" s="3735"/>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33"/>
      <c r="Q43" s="1351" t="str">
        <f t="shared" si="11"/>
        <v>内部装修维护情况</v>
      </c>
      <c r="R43" s="704" t="s">
        <v>14</v>
      </c>
      <c r="S43" s="705">
        <f t="shared" si="12"/>
        <v>100</v>
      </c>
      <c r="T43" s="704" t="s">
        <v>14</v>
      </c>
      <c r="U43" s="705">
        <f t="shared" si="13"/>
        <v>100</v>
      </c>
      <c r="V43" s="704" t="s">
        <v>14</v>
      </c>
      <c r="W43" s="705">
        <f t="shared" si="14"/>
        <v>100</v>
      </c>
      <c r="X43" s="1354"/>
      <c r="Y43" s="373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3"/>
      <c r="Q44" s="1342">
        <f t="shared" si="11"/>
        <v>111</v>
      </c>
      <c r="R44" s="700" t="s">
        <v>14</v>
      </c>
      <c r="S44" s="701">
        <f t="shared" si="12"/>
        <v>100</v>
      </c>
      <c r="T44" s="700" t="s">
        <v>14</v>
      </c>
      <c r="U44" s="701">
        <f t="shared" si="13"/>
        <v>100</v>
      </c>
      <c r="V44" s="700" t="s">
        <v>14</v>
      </c>
      <c r="W44" s="701">
        <f t="shared" si="14"/>
        <v>100</v>
      </c>
      <c r="X44" s="702"/>
      <c r="Y44" s="373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3"/>
      <c r="Q45" s="1351">
        <f t="shared" si="11"/>
        <v>111</v>
      </c>
      <c r="R45" s="704" t="s">
        <v>14</v>
      </c>
      <c r="S45" s="705">
        <f t="shared" si="12"/>
        <v>100</v>
      </c>
      <c r="T45" s="704" t="s">
        <v>14</v>
      </c>
      <c r="U45" s="705">
        <f t="shared" si="13"/>
        <v>100</v>
      </c>
      <c r="V45" s="704" t="s">
        <v>14</v>
      </c>
      <c r="W45" s="705">
        <f t="shared" si="14"/>
        <v>100</v>
      </c>
      <c r="X45" s="1354"/>
      <c r="Y45" s="373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4"/>
      <c r="Q46" s="1351">
        <f t="shared" si="11"/>
        <v>111</v>
      </c>
      <c r="R46" s="704" t="s">
        <v>14</v>
      </c>
      <c r="S46" s="705">
        <f t="shared" si="12"/>
        <v>100</v>
      </c>
      <c r="T46" s="704" t="s">
        <v>14</v>
      </c>
      <c r="U46" s="705">
        <f t="shared" si="13"/>
        <v>100</v>
      </c>
      <c r="V46" s="704" t="s">
        <v>14</v>
      </c>
      <c r="W46" s="705">
        <f t="shared" si="14"/>
        <v>100</v>
      </c>
      <c r="X46" s="1354"/>
      <c r="Y46" s="3736"/>
      <c r="Z46" s="1355">
        <f t="shared" si="15"/>
        <v>111</v>
      </c>
      <c r="AA46" s="1352">
        <f t="shared" si="3"/>
        <v>1</v>
      </c>
      <c r="AB46" s="1352">
        <f t="shared" si="4"/>
        <v>1</v>
      </c>
      <c r="AC46" s="1352">
        <f t="shared" si="5"/>
        <v>1</v>
      </c>
    </row>
    <row r="47" spans="1:29" ht="15">
      <c r="A47" s="430" t="s">
        <v>1705</v>
      </c>
      <c r="B47" s="431"/>
      <c r="C47" s="1153" t="s">
        <v>0</v>
      </c>
      <c r="D47" s="1154"/>
      <c r="E47" s="1155"/>
      <c r="F47" s="1156"/>
      <c r="G47" s="1157"/>
      <c r="H47" s="1158"/>
      <c r="I47" s="1155"/>
      <c r="J47" s="1158"/>
      <c r="K47" s="713"/>
      <c r="L47" s="2722"/>
      <c r="M47" s="2723"/>
      <c r="N47" s="2714"/>
      <c r="O47" s="2723"/>
      <c r="P47" s="3737" t="str">
        <f>A47</f>
        <v>成交单价（元/平方米）</v>
      </c>
      <c r="Q47" s="3737"/>
      <c r="R47" s="3725">
        <f>E47</f>
        <v>0</v>
      </c>
      <c r="S47" s="3725"/>
      <c r="T47" s="3725">
        <f>G47</f>
        <v>0</v>
      </c>
      <c r="U47" s="3725"/>
      <c r="V47" s="3725">
        <f>I47</f>
        <v>0</v>
      </c>
      <c r="W47" s="3725"/>
      <c r="X47" s="689"/>
      <c r="Y47" s="711"/>
      <c r="Z47" s="689"/>
      <c r="AA47" s="689"/>
      <c r="AB47" s="689"/>
      <c r="AC47" s="689"/>
    </row>
    <row r="48" spans="1:29" ht="15.75" thickBot="1">
      <c r="A48" s="437" t="s">
        <v>1790</v>
      </c>
      <c r="B48" s="438"/>
      <c r="C48" s="1159" t="e">
        <f>R49</f>
        <v>#DIV/0!</v>
      </c>
      <c r="D48" s="2316" t="s">
        <v>2134</v>
      </c>
      <c r="E48" s="1160" t="e">
        <f>R48</f>
        <v>#DIV/0!</v>
      </c>
      <c r="F48" s="2317"/>
      <c r="G48" s="1159" t="e">
        <f>T48</f>
        <v>#DIV/0!</v>
      </c>
      <c r="H48" s="2317"/>
      <c r="I48" s="1160" t="e">
        <f>V48</f>
        <v>#DIV/0!</v>
      </c>
      <c r="J48" s="2317"/>
      <c r="K48" s="2319">
        <f>F48+H48+J48</f>
        <v>0</v>
      </c>
      <c r="L48" s="2722"/>
      <c r="M48" s="2723"/>
      <c r="N48" s="2714"/>
      <c r="O48" s="2723"/>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89"/>
      <c r="Y48" s="689"/>
      <c r="Z48" s="689"/>
      <c r="AA48" s="689"/>
      <c r="AB48" s="689"/>
      <c r="AC48" s="689"/>
    </row>
    <row r="49" spans="1:29" ht="15.75" thickBot="1">
      <c r="A49" s="441" t="s">
        <v>1791</v>
      </c>
      <c r="B49" s="442"/>
      <c r="C49" s="1162" t="e">
        <f>R49</f>
        <v>#DIV/0!</v>
      </c>
      <c r="D49" s="1162"/>
      <c r="E49" s="1162"/>
      <c r="F49" s="1162"/>
      <c r="G49" s="1162"/>
      <c r="H49" s="1162"/>
      <c r="I49" s="1162"/>
      <c r="J49" s="1162"/>
      <c r="K49" s="714"/>
      <c r="L49" s="2722"/>
      <c r="M49" s="2723"/>
      <c r="N49" s="2714"/>
      <c r="O49" s="2723"/>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1795</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1676</v>
      </c>
      <c r="B58" s="455"/>
      <c r="C58" s="1183" t="str">
        <f>YEAR(C7)&amp;"-"&amp;MONTH(C7)</f>
        <v>2025-10</v>
      </c>
      <c r="D58" s="1184">
        <f>EDATE(C58,-1)</f>
        <v>45901</v>
      </c>
      <c r="E58" s="1184">
        <f t="shared" ref="E58:N58" si="16">EDATE(D58,-1)</f>
        <v>45870</v>
      </c>
      <c r="F58" s="1184">
        <f t="shared" si="16"/>
        <v>45839</v>
      </c>
      <c r="G58" s="1184">
        <f t="shared" si="16"/>
        <v>45809</v>
      </c>
      <c r="H58" s="1184">
        <f t="shared" si="16"/>
        <v>45778</v>
      </c>
      <c r="I58" s="1184">
        <f t="shared" si="16"/>
        <v>45748</v>
      </c>
      <c r="J58" s="1184">
        <f t="shared" si="16"/>
        <v>45717</v>
      </c>
      <c r="K58" s="1184">
        <f t="shared" si="16"/>
        <v>45689</v>
      </c>
      <c r="L58" s="1184">
        <f t="shared" si="16"/>
        <v>45658</v>
      </c>
      <c r="M58" s="1184">
        <f t="shared" si="16"/>
        <v>45627</v>
      </c>
      <c r="N58" s="1184">
        <f t="shared" si="16"/>
        <v>45597</v>
      </c>
      <c r="O58" s="1184">
        <f>EDATE(N58,-1)</f>
        <v>45566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1685</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1687</v>
      </c>
      <c r="B76" s="477" t="s">
        <v>1717</v>
      </c>
      <c r="C76" s="522" t="s">
        <v>1718</v>
      </c>
      <c r="D76" s="522" t="s">
        <v>1719</v>
      </c>
      <c r="E76" s="522" t="s">
        <v>1720</v>
      </c>
      <c r="F76" s="522" t="s">
        <v>1721</v>
      </c>
      <c r="G76" s="522" t="s">
        <v>1722</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1723</v>
      </c>
      <c r="C78" s="527" t="s">
        <v>1718</v>
      </c>
      <c r="D78" s="527" t="s">
        <v>1719</v>
      </c>
      <c r="E78" s="527" t="s">
        <v>1720</v>
      </c>
      <c r="F78" s="527" t="s">
        <v>1721</v>
      </c>
      <c r="G78" s="527" t="s">
        <v>1722</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1724</v>
      </c>
      <c r="C80" s="527" t="s">
        <v>1718</v>
      </c>
      <c r="D80" s="527" t="s">
        <v>1719</v>
      </c>
      <c r="E80" s="527" t="s">
        <v>1720</v>
      </c>
      <c r="F80" s="527" t="s">
        <v>1721</v>
      </c>
      <c r="G80" s="527" t="s">
        <v>1722</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1776</v>
      </c>
      <c r="C82" s="608" t="s">
        <v>1796</v>
      </c>
      <c r="D82" s="608" t="s">
        <v>1797</v>
      </c>
      <c r="E82" s="608" t="s">
        <v>1798</v>
      </c>
      <c r="F82" s="608" t="s">
        <v>1799</v>
      </c>
      <c r="G82" s="608" t="s">
        <v>1800</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1730</v>
      </c>
      <c r="C84" s="527" t="s">
        <v>1718</v>
      </c>
      <c r="D84" s="527" t="s">
        <v>1719</v>
      </c>
      <c r="E84" s="527" t="s">
        <v>1720</v>
      </c>
      <c r="F84" s="527" t="s">
        <v>1721</v>
      </c>
      <c r="G84" s="527" t="s">
        <v>1722</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1801</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1691</v>
      </c>
      <c r="B100" s="477" t="s">
        <v>1802</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1735</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1737</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1739</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1803</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1804</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1805</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1806</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1741</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31"/>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571.24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12" t="s">
        <v>1767</v>
      </c>
      <c r="D4" s="3713"/>
      <c r="E4" s="3714" t="s">
        <v>1768</v>
      </c>
      <c r="F4" s="3715"/>
      <c r="G4" s="3712" t="s">
        <v>1769</v>
      </c>
      <c r="H4" s="3713"/>
      <c r="I4" s="3712" t="s">
        <v>1770</v>
      </c>
      <c r="J4" s="3713"/>
      <c r="K4" s="559" t="s">
        <v>1771</v>
      </c>
      <c r="L4" s="912"/>
      <c r="M4" s="913"/>
      <c r="N4" s="913"/>
      <c r="O4" s="913"/>
      <c r="P4" s="3768" t="s">
        <v>1772</v>
      </c>
      <c r="Q4" s="3769"/>
      <c r="R4" s="3764" t="s">
        <v>1768</v>
      </c>
      <c r="S4" s="3765"/>
      <c r="T4" s="3764" t="s">
        <v>1769</v>
      </c>
      <c r="U4" s="3765"/>
      <c r="V4" s="3725" t="s">
        <v>1770</v>
      </c>
      <c r="W4" s="3725"/>
      <c r="X4" s="1354"/>
      <c r="Y4" s="3764" t="s">
        <v>1772</v>
      </c>
      <c r="Z4" s="3765"/>
      <c r="AA4" s="3763" t="s">
        <v>1768</v>
      </c>
      <c r="AB4" s="3692" t="s">
        <v>1769</v>
      </c>
      <c r="AC4" s="3763" t="s">
        <v>1770</v>
      </c>
    </row>
    <row r="5" spans="1:29" ht="15">
      <c r="A5" s="358"/>
      <c r="B5" s="359"/>
      <c r="C5" s="3767" t="s">
        <v>1670</v>
      </c>
      <c r="D5" s="3703"/>
      <c r="E5" s="3766" t="s">
        <v>1671</v>
      </c>
      <c r="F5" s="3701"/>
      <c r="G5" s="3767" t="s">
        <v>1672</v>
      </c>
      <c r="H5" s="3703"/>
      <c r="I5" s="3767" t="s">
        <v>1673</v>
      </c>
      <c r="J5" s="3703"/>
      <c r="K5" s="559"/>
      <c r="L5" s="912"/>
      <c r="M5" s="913"/>
      <c r="N5" s="913"/>
      <c r="O5" s="913"/>
      <c r="P5" s="3770"/>
      <c r="Q5" s="3719"/>
      <c r="R5" s="3698"/>
      <c r="S5" s="3699"/>
      <c r="T5" s="3698"/>
      <c r="U5" s="3699"/>
      <c r="V5" s="3725"/>
      <c r="W5" s="3725"/>
      <c r="X5" s="1354"/>
      <c r="Y5" s="3698"/>
      <c r="Z5" s="3699"/>
      <c r="AA5" s="3692"/>
      <c r="AB5" s="3692"/>
      <c r="AC5" s="3692"/>
    </row>
    <row r="6" spans="1:29" ht="15.75" thickBot="1">
      <c r="A6" s="360"/>
      <c r="B6" s="361"/>
      <c r="C6" s="3704" t="s">
        <v>1674</v>
      </c>
      <c r="D6" s="3705"/>
      <c r="E6" s="3706" t="s">
        <v>1674</v>
      </c>
      <c r="F6" s="3707"/>
      <c r="G6" s="3704" t="s">
        <v>1674</v>
      </c>
      <c r="H6" s="3705"/>
      <c r="I6" s="3704" t="s">
        <v>1674</v>
      </c>
      <c r="J6" s="3705"/>
      <c r="K6" s="559" t="s">
        <v>1675</v>
      </c>
      <c r="L6" s="912"/>
      <c r="M6" s="913"/>
      <c r="N6" s="913"/>
      <c r="O6" s="913"/>
      <c r="P6" s="3771"/>
      <c r="Q6" s="3721"/>
      <c r="R6" s="3698"/>
      <c r="S6" s="3699"/>
      <c r="T6" s="3722"/>
      <c r="U6" s="3723"/>
      <c r="V6" s="3725"/>
      <c r="W6" s="3725"/>
      <c r="X6" s="1354"/>
      <c r="Y6" s="3722"/>
      <c r="Z6" s="3723"/>
      <c r="AA6" s="3693"/>
      <c r="AB6" s="3693"/>
      <c r="AC6" s="3693"/>
    </row>
    <row r="7" spans="1:29" s="108" customFormat="1" ht="15.75" thickBot="1">
      <c r="A7" s="362" t="s">
        <v>1676</v>
      </c>
      <c r="B7" s="363"/>
      <c r="C7" s="364">
        <f>'数据-取费表'!B2</f>
        <v>45940</v>
      </c>
      <c r="D7" s="365">
        <v>100</v>
      </c>
      <c r="E7" s="366"/>
      <c r="F7" s="367">
        <f>SUMIF(52:52,YEAR(E7)&amp;"-"&amp;MONTH(E7),53:53)</f>
        <v>0</v>
      </c>
      <c r="G7" s="366"/>
      <c r="H7" s="365">
        <f>SUMIF(52:52,YEAR(G7)&amp;"-"&amp;MONTH(G7),53:53)</f>
        <v>0</v>
      </c>
      <c r="I7" s="366"/>
      <c r="J7" s="365">
        <f>SUMIF(52:52,YEAR(I7)&amp;"-"&amp;MONTH(I7),53:53)</f>
        <v>0</v>
      </c>
      <c r="K7" s="560"/>
      <c r="L7" s="914"/>
      <c r="M7" s="915"/>
      <c r="N7" s="915"/>
      <c r="O7" s="915"/>
      <c r="P7" s="3694" t="s">
        <v>1677</v>
      </c>
      <c r="Q7" s="3727"/>
      <c r="R7" s="700" t="s">
        <v>14</v>
      </c>
      <c r="S7" s="701">
        <f t="shared" ref="S7:S15" si="0">F7</f>
        <v>0</v>
      </c>
      <c r="T7" s="700" t="s">
        <v>14</v>
      </c>
      <c r="U7" s="701">
        <f t="shared" ref="U7:U15" si="1">H7</f>
        <v>0</v>
      </c>
      <c r="V7" s="700" t="s">
        <v>14</v>
      </c>
      <c r="W7" s="701">
        <f t="shared" ref="W7:W15" si="2">J7</f>
        <v>0</v>
      </c>
      <c r="X7" s="702"/>
      <c r="Y7" s="3694" t="s">
        <v>1677</v>
      </c>
      <c r="Z7" s="3695"/>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4" t="s">
        <v>1680</v>
      </c>
      <c r="Q8" s="3695"/>
      <c r="R8" s="700" t="s">
        <v>14</v>
      </c>
      <c r="S8" s="701">
        <f t="shared" si="0"/>
        <v>100</v>
      </c>
      <c r="T8" s="700" t="s">
        <v>14</v>
      </c>
      <c r="U8" s="701">
        <f t="shared" si="1"/>
        <v>100</v>
      </c>
      <c r="V8" s="700" t="s">
        <v>14</v>
      </c>
      <c r="W8" s="701">
        <f t="shared" si="2"/>
        <v>100</v>
      </c>
      <c r="X8" s="702"/>
      <c r="Y8" s="3694" t="s">
        <v>1680</v>
      </c>
      <c r="Z8" s="3695"/>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37" t="s">
        <v>1683</v>
      </c>
      <c r="Q9" s="1342" t="str">
        <f t="shared" ref="Q9:Q15" si="6">B9</f>
        <v>用途</v>
      </c>
      <c r="R9" s="700" t="s">
        <v>14</v>
      </c>
      <c r="S9" s="701">
        <f t="shared" si="0"/>
        <v>100</v>
      </c>
      <c r="T9" s="700" t="s">
        <v>14</v>
      </c>
      <c r="U9" s="701">
        <f t="shared" si="1"/>
        <v>100</v>
      </c>
      <c r="V9" s="700" t="s">
        <v>14</v>
      </c>
      <c r="W9" s="701">
        <f t="shared" si="2"/>
        <v>100</v>
      </c>
      <c r="X9" s="702"/>
      <c r="Y9" s="3659" t="s">
        <v>1684</v>
      </c>
      <c r="Z9" s="52" t="str">
        <f t="shared" ref="Z9:Z15" si="7">Q9</f>
        <v>用途</v>
      </c>
      <c r="AA9" s="703">
        <f t="shared" si="3"/>
        <v>1</v>
      </c>
      <c r="AB9" s="703">
        <f t="shared" si="4"/>
        <v>1</v>
      </c>
      <c r="AC9" s="703">
        <f t="shared" si="5"/>
        <v>1</v>
      </c>
    </row>
    <row r="10" spans="1:29" s="378" customFormat="1" ht="27">
      <c r="A10" s="374"/>
      <c r="B10" s="375" t="s">
        <v>1685</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37"/>
      <c r="Q10" s="1342" t="str">
        <f t="shared" si="6"/>
        <v>土地使用年限（年）</v>
      </c>
      <c r="R10" s="700" t="s">
        <v>14</v>
      </c>
      <c r="S10" s="701">
        <f t="shared" si="0"/>
        <v>100</v>
      </c>
      <c r="T10" s="700" t="s">
        <v>14</v>
      </c>
      <c r="U10" s="701">
        <f t="shared" si="1"/>
        <v>100</v>
      </c>
      <c r="V10" s="700" t="s">
        <v>14</v>
      </c>
      <c r="W10" s="701">
        <f t="shared" si="2"/>
        <v>100</v>
      </c>
      <c r="X10" s="702"/>
      <c r="Y10" s="3659"/>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37"/>
      <c r="Q11" s="1342" t="str">
        <f t="shared" si="6"/>
        <v>容积率</v>
      </c>
      <c r="R11" s="700" t="s">
        <v>14</v>
      </c>
      <c r="S11" s="701">
        <f t="shared" si="0"/>
        <v>100</v>
      </c>
      <c r="T11" s="700" t="s">
        <v>14</v>
      </c>
      <c r="U11" s="701">
        <f t="shared" si="1"/>
        <v>100</v>
      </c>
      <c r="V11" s="700" t="s">
        <v>14</v>
      </c>
      <c r="W11" s="701">
        <f t="shared" si="2"/>
        <v>100</v>
      </c>
      <c r="X11" s="702"/>
      <c r="Y11" s="365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37"/>
      <c r="Q12" s="1342">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37"/>
      <c r="Q13" s="1342">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37"/>
      <c r="Q14" s="1342">
        <f t="shared" si="6"/>
        <v>111</v>
      </c>
      <c r="R14" s="700" t="s">
        <v>14</v>
      </c>
      <c r="S14" s="701">
        <f t="shared" si="0"/>
        <v>100</v>
      </c>
      <c r="T14" s="700" t="s">
        <v>14</v>
      </c>
      <c r="U14" s="701">
        <f t="shared" si="1"/>
        <v>100</v>
      </c>
      <c r="V14" s="700" t="s">
        <v>14</v>
      </c>
      <c r="W14" s="701">
        <f t="shared" si="2"/>
        <v>100</v>
      </c>
      <c r="X14" s="702"/>
      <c r="Y14" s="3659"/>
      <c r="Z14" s="52">
        <f t="shared" si="7"/>
        <v>111</v>
      </c>
      <c r="AA14" s="703">
        <f t="shared" si="3"/>
        <v>1</v>
      </c>
      <c r="AB14" s="703">
        <f t="shared" si="4"/>
        <v>1</v>
      </c>
      <c r="AC14" s="703">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0" t="s">
        <v>1688</v>
      </c>
      <c r="Q15" s="1351" t="str">
        <f t="shared" si="6"/>
        <v>产业集聚程度</v>
      </c>
      <c r="R15" s="704" t="s">
        <v>14</v>
      </c>
      <c r="S15" s="705">
        <f t="shared" si="0"/>
        <v>100</v>
      </c>
      <c r="T15" s="704" t="s">
        <v>14</v>
      </c>
      <c r="U15" s="705">
        <f t="shared" si="1"/>
        <v>100</v>
      </c>
      <c r="V15" s="704" t="s">
        <v>14</v>
      </c>
      <c r="W15" s="705">
        <f t="shared" si="2"/>
        <v>100</v>
      </c>
      <c r="X15" s="1354"/>
      <c r="Y15" s="3730"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1"/>
      <c r="Q16" s="1351"/>
      <c r="R16" s="704"/>
      <c r="S16" s="705"/>
      <c r="T16" s="704"/>
      <c r="U16" s="705"/>
      <c r="V16" s="704"/>
      <c r="W16" s="705"/>
      <c r="X16" s="1354"/>
      <c r="Y16" s="373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1"/>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1"/>
      <c r="Q18" s="1351"/>
      <c r="R18" s="704"/>
      <c r="S18" s="705"/>
      <c r="T18" s="704"/>
      <c r="U18" s="705"/>
      <c r="V18" s="704"/>
      <c r="W18" s="705"/>
      <c r="X18" s="1354"/>
      <c r="Y18" s="3731"/>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1"/>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1"/>
      <c r="Q20" s="1351"/>
      <c r="R20" s="704"/>
      <c r="S20" s="705"/>
      <c r="T20" s="704"/>
      <c r="U20" s="705"/>
      <c r="V20" s="704"/>
      <c r="W20" s="705"/>
      <c r="X20" s="1354"/>
      <c r="Y20" s="3731"/>
      <c r="Z20" s="1355"/>
      <c r="AA20" s="1352">
        <v>1</v>
      </c>
      <c r="AB20" s="1352">
        <v>1</v>
      </c>
      <c r="AC20" s="1352">
        <v>1</v>
      </c>
    </row>
    <row r="21" spans="1:29" ht="28.5">
      <c r="A21" s="379"/>
      <c r="B21" s="1130"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1"/>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1"/>
      <c r="Q22" s="1351"/>
      <c r="R22" s="704"/>
      <c r="S22" s="705"/>
      <c r="T22" s="704"/>
      <c r="U22" s="705"/>
      <c r="V22" s="704"/>
      <c r="W22" s="705"/>
      <c r="X22" s="1354"/>
      <c r="Y22" s="3731"/>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1"/>
      <c r="Q23" s="1351" t="str">
        <f>B23</f>
        <v>环境质量</v>
      </c>
      <c r="R23" s="704" t="s">
        <v>14</v>
      </c>
      <c r="S23" s="705">
        <f>F23</f>
        <v>100</v>
      </c>
      <c r="T23" s="704" t="s">
        <v>14</v>
      </c>
      <c r="U23" s="705">
        <f>H23</f>
        <v>100</v>
      </c>
      <c r="V23" s="704" t="s">
        <v>14</v>
      </c>
      <c r="W23" s="705">
        <f>J23</f>
        <v>100</v>
      </c>
      <c r="X23" s="1354"/>
      <c r="Y23" s="373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1"/>
      <c r="Q24" s="1351"/>
      <c r="R24" s="704"/>
      <c r="S24" s="705"/>
      <c r="T24" s="704"/>
      <c r="U24" s="705"/>
      <c r="V24" s="704"/>
      <c r="W24" s="705"/>
      <c r="X24" s="1354"/>
      <c r="Y24" s="373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1"/>
      <c r="Q25" s="1351">
        <f>B25</f>
        <v>111</v>
      </c>
      <c r="R25" s="704" t="s">
        <v>14</v>
      </c>
      <c r="S25" s="705">
        <f>F25</f>
        <v>100</v>
      </c>
      <c r="T25" s="704" t="s">
        <v>14</v>
      </c>
      <c r="U25" s="705">
        <f>H25</f>
        <v>100</v>
      </c>
      <c r="V25" s="704" t="s">
        <v>14</v>
      </c>
      <c r="W25" s="705">
        <f>J25</f>
        <v>100</v>
      </c>
      <c r="X25" s="1354"/>
      <c r="Y25" s="373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1"/>
      <c r="Q26" s="1351">
        <f t="shared" ref="Q26:Q40" si="11">B26</f>
        <v>111</v>
      </c>
      <c r="R26" s="704" t="s">
        <v>14</v>
      </c>
      <c r="S26" s="705">
        <f>F26</f>
        <v>100</v>
      </c>
      <c r="T26" s="704" t="s">
        <v>14</v>
      </c>
      <c r="U26" s="705">
        <f>H26</f>
        <v>100</v>
      </c>
      <c r="V26" s="704" t="s">
        <v>14</v>
      </c>
      <c r="W26" s="705">
        <f>J26</f>
        <v>100</v>
      </c>
      <c r="X26" s="1354"/>
      <c r="Y26" s="373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1"/>
      <c r="Q27" s="1342">
        <f t="shared" si="11"/>
        <v>111</v>
      </c>
      <c r="R27" s="700" t="s">
        <v>14</v>
      </c>
      <c r="S27" s="701">
        <f>F27</f>
        <v>100</v>
      </c>
      <c r="T27" s="700" t="s">
        <v>14</v>
      </c>
      <c r="U27" s="701">
        <f>H27</f>
        <v>100</v>
      </c>
      <c r="V27" s="700" t="s">
        <v>14</v>
      </c>
      <c r="W27" s="701">
        <f>J27</f>
        <v>100</v>
      </c>
      <c r="X27" s="702"/>
      <c r="Y27" s="373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1"/>
      <c r="Q28" s="1351">
        <f t="shared" si="11"/>
        <v>111</v>
      </c>
      <c r="R28" s="704" t="s">
        <v>14</v>
      </c>
      <c r="S28" s="705">
        <f t="shared" ref="S28:S40" si="12">F28</f>
        <v>100</v>
      </c>
      <c r="T28" s="704" t="s">
        <v>14</v>
      </c>
      <c r="U28" s="705">
        <f t="shared" ref="U28:U40" si="13">H28</f>
        <v>100</v>
      </c>
      <c r="V28" s="704" t="s">
        <v>14</v>
      </c>
      <c r="W28" s="705">
        <f t="shared" ref="W28:W40" si="14">J28</f>
        <v>100</v>
      </c>
      <c r="X28" s="1354"/>
      <c r="Y28" s="3731"/>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5" t="s">
        <v>1693</v>
      </c>
      <c r="Q29" s="1351" t="str">
        <f t="shared" si="11"/>
        <v>建筑类型</v>
      </c>
      <c r="R29" s="704" t="s">
        <v>14</v>
      </c>
      <c r="S29" s="705">
        <f t="shared" si="12"/>
        <v>100</v>
      </c>
      <c r="T29" s="704" t="s">
        <v>14</v>
      </c>
      <c r="U29" s="705">
        <f t="shared" si="13"/>
        <v>100</v>
      </c>
      <c r="V29" s="704" t="s">
        <v>14</v>
      </c>
      <c r="W29" s="705">
        <f t="shared" si="14"/>
        <v>100</v>
      </c>
      <c r="X29" s="1354"/>
      <c r="Y29" s="3735"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5"/>
      <c r="Q30" s="706" t="str">
        <f t="shared" si="11"/>
        <v>项目建筑规模</v>
      </c>
      <c r="R30" s="707" t="s">
        <v>14</v>
      </c>
      <c r="S30" s="708" t="e">
        <f t="shared" si="12"/>
        <v>#N/A</v>
      </c>
      <c r="T30" s="707" t="s">
        <v>14</v>
      </c>
      <c r="U30" s="708" t="e">
        <f t="shared" si="13"/>
        <v>#N/A</v>
      </c>
      <c r="V30" s="707" t="s">
        <v>14</v>
      </c>
      <c r="W30" s="708" t="e">
        <f t="shared" si="14"/>
        <v>#N/A</v>
      </c>
      <c r="X30" s="709"/>
      <c r="Y30" s="3735"/>
      <c r="Z30" s="710"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5"/>
      <c r="Q31" s="1351" t="str">
        <f t="shared" si="11"/>
        <v>建筑结构</v>
      </c>
      <c r="R31" s="704" t="s">
        <v>14</v>
      </c>
      <c r="S31" s="705">
        <f t="shared" si="12"/>
        <v>100</v>
      </c>
      <c r="T31" s="704" t="s">
        <v>14</v>
      </c>
      <c r="U31" s="705">
        <f t="shared" si="13"/>
        <v>100</v>
      </c>
      <c r="V31" s="704" t="s">
        <v>14</v>
      </c>
      <c r="W31" s="705">
        <f t="shared" si="14"/>
        <v>100</v>
      </c>
      <c r="X31" s="1354"/>
      <c r="Y31" s="3735"/>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5"/>
      <c r="Q32" s="1351" t="str">
        <f t="shared" si="11"/>
        <v>公共部分装修</v>
      </c>
      <c r="R32" s="704" t="s">
        <v>14</v>
      </c>
      <c r="S32" s="705">
        <f t="shared" si="12"/>
        <v>100</v>
      </c>
      <c r="T32" s="704" t="s">
        <v>14</v>
      </c>
      <c r="U32" s="705">
        <f t="shared" si="13"/>
        <v>100</v>
      </c>
      <c r="V32" s="704" t="s">
        <v>14</v>
      </c>
      <c r="W32" s="705">
        <f t="shared" si="14"/>
        <v>100</v>
      </c>
      <c r="X32" s="1354"/>
      <c r="Y32" s="3735"/>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5"/>
      <c r="Q33" s="1351" t="str">
        <f t="shared" si="11"/>
        <v>成新度</v>
      </c>
      <c r="R33" s="704" t="s">
        <v>14</v>
      </c>
      <c r="S33" s="705" t="e">
        <f t="shared" si="12"/>
        <v>#N/A</v>
      </c>
      <c r="T33" s="704" t="s">
        <v>14</v>
      </c>
      <c r="U33" s="705" t="e">
        <f t="shared" si="13"/>
        <v>#N/A</v>
      </c>
      <c r="V33" s="704" t="s">
        <v>14</v>
      </c>
      <c r="W33" s="705" t="e">
        <f t="shared" si="14"/>
        <v>#N/A</v>
      </c>
      <c r="X33" s="1354"/>
      <c r="Y33" s="3735"/>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5"/>
      <c r="Q34" s="1342" t="str">
        <f t="shared" si="11"/>
        <v>物业管理</v>
      </c>
      <c r="R34" s="700" t="s">
        <v>14</v>
      </c>
      <c r="S34" s="701">
        <f t="shared" si="12"/>
        <v>100</v>
      </c>
      <c r="T34" s="700" t="s">
        <v>14</v>
      </c>
      <c r="U34" s="701">
        <f t="shared" si="13"/>
        <v>100</v>
      </c>
      <c r="V34" s="700" t="s">
        <v>14</v>
      </c>
      <c r="W34" s="701">
        <f t="shared" si="14"/>
        <v>100</v>
      </c>
      <c r="X34" s="702"/>
      <c r="Y34" s="3735"/>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5" t="s">
        <v>1693</v>
      </c>
      <c r="Q35" s="1351" t="str">
        <f t="shared" si="11"/>
        <v>市政基础设施</v>
      </c>
      <c r="R35" s="704" t="s">
        <v>14</v>
      </c>
      <c r="S35" s="705">
        <f t="shared" si="12"/>
        <v>100</v>
      </c>
      <c r="T35" s="704" t="s">
        <v>14</v>
      </c>
      <c r="U35" s="705">
        <f t="shared" si="13"/>
        <v>100</v>
      </c>
      <c r="V35" s="704" t="s">
        <v>14</v>
      </c>
      <c r="W35" s="705">
        <f t="shared" si="14"/>
        <v>100</v>
      </c>
      <c r="X35" s="1354"/>
      <c r="Y35" s="3735"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5"/>
      <c r="Q36" s="1351" t="str">
        <f t="shared" si="11"/>
        <v>内部装修</v>
      </c>
      <c r="R36" s="704" t="s">
        <v>14</v>
      </c>
      <c r="S36" s="705">
        <f t="shared" si="12"/>
        <v>100</v>
      </c>
      <c r="T36" s="704" t="s">
        <v>14</v>
      </c>
      <c r="U36" s="705">
        <f t="shared" si="13"/>
        <v>100</v>
      </c>
      <c r="V36" s="704" t="s">
        <v>14</v>
      </c>
      <c r="W36" s="705">
        <f t="shared" si="14"/>
        <v>100</v>
      </c>
      <c r="X36" s="1354"/>
      <c r="Y36" s="3735"/>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5"/>
      <c r="Q37" s="1351" t="str">
        <f t="shared" si="11"/>
        <v>内部装修状况</v>
      </c>
      <c r="R37" s="704" t="s">
        <v>14</v>
      </c>
      <c r="S37" s="705">
        <f t="shared" si="12"/>
        <v>100</v>
      </c>
      <c r="T37" s="704" t="s">
        <v>14</v>
      </c>
      <c r="U37" s="705">
        <f t="shared" si="13"/>
        <v>100</v>
      </c>
      <c r="V37" s="704" t="s">
        <v>14</v>
      </c>
      <c r="W37" s="705">
        <f t="shared" si="14"/>
        <v>100</v>
      </c>
      <c r="X37" s="1354"/>
      <c r="Y37" s="373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5"/>
      <c r="Q38" s="706">
        <f t="shared" si="11"/>
        <v>111</v>
      </c>
      <c r="R38" s="707" t="s">
        <v>14</v>
      </c>
      <c r="S38" s="708">
        <f t="shared" si="12"/>
        <v>100</v>
      </c>
      <c r="T38" s="707" t="s">
        <v>14</v>
      </c>
      <c r="U38" s="708">
        <f t="shared" si="13"/>
        <v>100</v>
      </c>
      <c r="V38" s="707" t="s">
        <v>14</v>
      </c>
      <c r="W38" s="708">
        <f t="shared" si="14"/>
        <v>100</v>
      </c>
      <c r="X38" s="709"/>
      <c r="Y38" s="373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5"/>
      <c r="Q39" s="1351">
        <f t="shared" si="11"/>
        <v>111</v>
      </c>
      <c r="R39" s="704" t="s">
        <v>14</v>
      </c>
      <c r="S39" s="705">
        <f t="shared" si="12"/>
        <v>100</v>
      </c>
      <c r="T39" s="704" t="s">
        <v>14</v>
      </c>
      <c r="U39" s="705">
        <f t="shared" si="13"/>
        <v>100</v>
      </c>
      <c r="V39" s="704" t="s">
        <v>14</v>
      </c>
      <c r="W39" s="705">
        <f t="shared" si="14"/>
        <v>100</v>
      </c>
      <c r="X39" s="1354"/>
      <c r="Y39" s="373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6"/>
      <c r="Q40" s="1351">
        <f t="shared" si="11"/>
        <v>111</v>
      </c>
      <c r="R40" s="704" t="s">
        <v>14</v>
      </c>
      <c r="S40" s="705">
        <f t="shared" si="12"/>
        <v>100</v>
      </c>
      <c r="T40" s="704" t="s">
        <v>14</v>
      </c>
      <c r="U40" s="705">
        <f t="shared" si="13"/>
        <v>100</v>
      </c>
      <c r="V40" s="704" t="s">
        <v>14</v>
      </c>
      <c r="W40" s="705">
        <f t="shared" si="14"/>
        <v>100</v>
      </c>
      <c r="X40" s="1354"/>
      <c r="Y40" s="3736"/>
      <c r="Z40" s="1355">
        <f t="shared" si="15"/>
        <v>111</v>
      </c>
      <c r="AA40" s="1352">
        <f t="shared" si="3"/>
        <v>1</v>
      </c>
      <c r="AB40" s="1352">
        <f t="shared" si="4"/>
        <v>1</v>
      </c>
      <c r="AC40" s="1352">
        <f t="shared" si="5"/>
        <v>1</v>
      </c>
    </row>
    <row r="41" spans="1:29" ht="15">
      <c r="A41" s="430" t="s">
        <v>1705</v>
      </c>
      <c r="B41" s="431"/>
      <c r="C41" s="1153" t="s">
        <v>0</v>
      </c>
      <c r="D41" s="1154"/>
      <c r="E41" s="1155"/>
      <c r="F41" s="1156"/>
      <c r="G41" s="1157"/>
      <c r="H41" s="1158"/>
      <c r="I41" s="1155"/>
      <c r="J41" s="1158"/>
      <c r="K41" s="713"/>
      <c r="L41" s="925"/>
      <c r="M41" s="926"/>
      <c r="N41" s="913"/>
      <c r="O41" s="926"/>
      <c r="P41" s="3737" t="str">
        <f>A41</f>
        <v>成交单价（元/平方米）</v>
      </c>
      <c r="Q41" s="3737"/>
      <c r="R41" s="3738">
        <f>E41</f>
        <v>0</v>
      </c>
      <c r="S41" s="3738"/>
      <c r="T41" s="3738">
        <f>G41</f>
        <v>0</v>
      </c>
      <c r="U41" s="3738"/>
      <c r="V41" s="3738">
        <f>I41</f>
        <v>0</v>
      </c>
      <c r="W41" s="3738"/>
      <c r="X41" s="689"/>
      <c r="Y41" s="711"/>
      <c r="Z41" s="689"/>
      <c r="AA41" s="689"/>
      <c r="AB41" s="689"/>
      <c r="AC41" s="689"/>
    </row>
    <row r="42" spans="1:29" ht="15.75" thickBot="1">
      <c r="A42" s="437" t="s">
        <v>1790</v>
      </c>
      <c r="B42" s="438"/>
      <c r="C42" s="1159" t="e">
        <f>R43</f>
        <v>#DIV/0!</v>
      </c>
      <c r="D42" s="2316" t="s">
        <v>2134</v>
      </c>
      <c r="E42" s="1160" t="e">
        <f>R42</f>
        <v>#DIV/0!</v>
      </c>
      <c r="F42" s="2317"/>
      <c r="G42" s="1159" t="e">
        <f>T42</f>
        <v>#DIV/0!</v>
      </c>
      <c r="H42" s="2317"/>
      <c r="I42" s="1160" t="e">
        <f>V42</f>
        <v>#DIV/0!</v>
      </c>
      <c r="J42" s="2317"/>
      <c r="K42" s="2319">
        <f>F42+H42+J42</f>
        <v>0</v>
      </c>
      <c r="L42" s="925"/>
      <c r="M42" s="926"/>
      <c r="N42" s="913"/>
      <c r="O42" s="926"/>
      <c r="P42" s="3737" t="str">
        <f>A42</f>
        <v>比较价值（元/平方米）</v>
      </c>
      <c r="Q42" s="3737"/>
      <c r="R42" s="3738" t="e">
        <f>IF(F1="售价",ROUND(PRODUCT(R41,AA7:AA40),0),ROUND(PRODUCT(R41,AA7:AA40),1))</f>
        <v>#DIV/0!</v>
      </c>
      <c r="S42" s="3738"/>
      <c r="T42" s="3738" t="e">
        <f>IF(F1="售价",ROUND(PRODUCT(T41,AB7:AB40),0),ROUND(PRODUCT(T41,AB7:AB40),1))</f>
        <v>#DIV/0!</v>
      </c>
      <c r="U42" s="3738"/>
      <c r="V42" s="3738" t="e">
        <f>IF(F1="售价",ROUND(PRODUCT(V41,AC7:AC40),0),ROUND(PRODUCT(V41,AC7:AC40),1))</f>
        <v>#DIV/0!</v>
      </c>
      <c r="W42" s="3738"/>
      <c r="X42" s="689"/>
      <c r="Y42" s="689"/>
      <c r="Z42" s="689"/>
      <c r="AA42" s="689"/>
      <c r="AB42" s="689"/>
      <c r="AC42" s="689"/>
    </row>
    <row r="43" spans="1:29" ht="15.75" thickBot="1">
      <c r="A43" s="441" t="s">
        <v>1791</v>
      </c>
      <c r="B43" s="442"/>
      <c r="C43" s="1162" t="e">
        <f>R43</f>
        <v>#DIV/0!</v>
      </c>
      <c r="D43" s="1162"/>
      <c r="E43" s="1162"/>
      <c r="F43" s="1162"/>
      <c r="G43" s="1162"/>
      <c r="H43" s="1162"/>
      <c r="I43" s="1162"/>
      <c r="J43" s="1162"/>
      <c r="K43" s="714"/>
      <c r="L43" s="925"/>
      <c r="M43" s="926"/>
      <c r="N43" s="926"/>
      <c r="O43" s="926"/>
      <c r="P43" s="3772" t="str">
        <f>A43</f>
        <v>估价对象XX用房的比较价值（楼面单价，元/平方米）</v>
      </c>
      <c r="Q43" s="3773"/>
      <c r="R43" s="3774" t="e">
        <f>IF(F1="售价",ROUND(IF(D42="简单平均",AVERAGE(R42:V42),R42*F42+T42*H42+V42*J42),0),ROUND(IF(D42="简单平均",AVERAGE(R42:V42),R42*F42+T42*H42+V42*J42),1))</f>
        <v>#DIV/0!</v>
      </c>
      <c r="S43" s="3774"/>
      <c r="T43" s="3774"/>
      <c r="U43" s="3774"/>
      <c r="V43" s="3774"/>
      <c r="W43" s="3774"/>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3" t="str">
        <f>YEAR(C7)&amp;"-"&amp;MONTH(C7)</f>
        <v>2025-10</v>
      </c>
      <c r="D52" s="1184">
        <f>EDATE(C52,-1)</f>
        <v>45901</v>
      </c>
      <c r="E52" s="1184">
        <f t="shared" ref="E52:O52" si="16">EDATE(D52,-1)</f>
        <v>45870</v>
      </c>
      <c r="F52" s="1184">
        <f t="shared" si="16"/>
        <v>45839</v>
      </c>
      <c r="G52" s="1184">
        <f t="shared" si="16"/>
        <v>45809</v>
      </c>
      <c r="H52" s="1184">
        <f t="shared" si="16"/>
        <v>45778</v>
      </c>
      <c r="I52" s="1184">
        <f t="shared" si="16"/>
        <v>45748</v>
      </c>
      <c r="J52" s="1184">
        <f t="shared" si="16"/>
        <v>45717</v>
      </c>
      <c r="K52" s="1184">
        <f t="shared" si="16"/>
        <v>45689</v>
      </c>
      <c r="L52" s="1184">
        <f t="shared" si="16"/>
        <v>45658</v>
      </c>
      <c r="M52" s="1184">
        <f t="shared" si="16"/>
        <v>45627</v>
      </c>
      <c r="N52" s="1184">
        <f t="shared" si="16"/>
        <v>45597</v>
      </c>
      <c r="O52" s="1184">
        <f t="shared" si="16"/>
        <v>45566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8"/>
      <c r="O54" s="2769"/>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3327</v>
      </c>
      <c r="C1" s="1223" t="s">
        <v>1659</v>
      </c>
      <c r="D1" s="1224"/>
      <c r="E1" s="3431"/>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1766</v>
      </c>
      <c r="B4" s="356"/>
      <c r="C4" s="3712" t="s">
        <v>1767</v>
      </c>
      <c r="D4" s="3713"/>
      <c r="E4" s="3714" t="s">
        <v>1768</v>
      </c>
      <c r="F4" s="3715"/>
      <c r="G4" s="3712" t="s">
        <v>1769</v>
      </c>
      <c r="H4" s="3713"/>
      <c r="I4" s="3712" t="s">
        <v>1770</v>
      </c>
      <c r="J4" s="3713"/>
      <c r="K4" s="559" t="s">
        <v>1771</v>
      </c>
      <c r="L4" s="2713"/>
      <c r="M4" s="2714"/>
      <c r="N4" s="2714"/>
      <c r="O4" s="2714"/>
      <c r="P4" s="3768" t="s">
        <v>1772</v>
      </c>
      <c r="Q4" s="3769"/>
      <c r="R4" s="3764" t="s">
        <v>1768</v>
      </c>
      <c r="S4" s="3765"/>
      <c r="T4" s="3764" t="s">
        <v>1769</v>
      </c>
      <c r="U4" s="3765"/>
      <c r="V4" s="3725" t="s">
        <v>1770</v>
      </c>
      <c r="W4" s="3725"/>
      <c r="X4" s="1354"/>
      <c r="Y4" s="3764" t="s">
        <v>1772</v>
      </c>
      <c r="Z4" s="3765"/>
      <c r="AA4" s="3763" t="s">
        <v>1768</v>
      </c>
      <c r="AB4" s="3692" t="s">
        <v>1769</v>
      </c>
      <c r="AC4" s="3763" t="s">
        <v>1770</v>
      </c>
    </row>
    <row r="5" spans="1:29" ht="15">
      <c r="A5" s="358"/>
      <c r="B5" s="359"/>
      <c r="C5" s="3767" t="s">
        <v>1670</v>
      </c>
      <c r="D5" s="3703"/>
      <c r="E5" s="3766" t="s">
        <v>1671</v>
      </c>
      <c r="F5" s="3701"/>
      <c r="G5" s="3767" t="s">
        <v>1672</v>
      </c>
      <c r="H5" s="3703"/>
      <c r="I5" s="3767" t="s">
        <v>1673</v>
      </c>
      <c r="J5" s="3703"/>
      <c r="K5" s="559"/>
      <c r="L5" s="2713"/>
      <c r="M5" s="2714"/>
      <c r="N5" s="2714"/>
      <c r="O5" s="2714"/>
      <c r="P5" s="3770"/>
      <c r="Q5" s="3719"/>
      <c r="R5" s="3698"/>
      <c r="S5" s="3699"/>
      <c r="T5" s="3698"/>
      <c r="U5" s="3699"/>
      <c r="V5" s="3725"/>
      <c r="W5" s="3725"/>
      <c r="X5" s="1354"/>
      <c r="Y5" s="3698"/>
      <c r="Z5" s="3699"/>
      <c r="AA5" s="3692"/>
      <c r="AB5" s="3692"/>
      <c r="AC5" s="3692"/>
    </row>
    <row r="6" spans="1:29" ht="15.75" thickBot="1">
      <c r="A6" s="360"/>
      <c r="B6" s="361"/>
      <c r="C6" s="3704" t="s">
        <v>1674</v>
      </c>
      <c r="D6" s="3705"/>
      <c r="E6" s="3706" t="s">
        <v>1674</v>
      </c>
      <c r="F6" s="3707"/>
      <c r="G6" s="3704" t="s">
        <v>1674</v>
      </c>
      <c r="H6" s="3705"/>
      <c r="I6" s="3704" t="s">
        <v>1674</v>
      </c>
      <c r="J6" s="3705"/>
      <c r="K6" s="559" t="s">
        <v>1675</v>
      </c>
      <c r="L6" s="2713"/>
      <c r="M6" s="2714"/>
      <c r="N6" s="2714"/>
      <c r="O6" s="2714"/>
      <c r="P6" s="3771"/>
      <c r="Q6" s="3721"/>
      <c r="R6" s="3698"/>
      <c r="S6" s="3699"/>
      <c r="T6" s="3722"/>
      <c r="U6" s="3723"/>
      <c r="V6" s="3725"/>
      <c r="W6" s="3725"/>
      <c r="X6" s="1354"/>
      <c r="Y6" s="3722"/>
      <c r="Z6" s="3723"/>
      <c r="AA6" s="3693"/>
      <c r="AB6" s="3693"/>
      <c r="AC6" s="3693"/>
    </row>
    <row r="7" spans="1:29" s="108" customFormat="1" ht="15.75" thickBot="1">
      <c r="A7" s="362" t="s">
        <v>1676</v>
      </c>
      <c r="B7" s="363"/>
      <c r="C7" s="364">
        <f>'数据-取费表'!B2</f>
        <v>45940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4" t="s">
        <v>1677</v>
      </c>
      <c r="Q7" s="3727"/>
      <c r="R7" s="700" t="s">
        <v>14</v>
      </c>
      <c r="S7" s="701">
        <f t="shared" ref="S7:S14" si="0">F7</f>
        <v>0</v>
      </c>
      <c r="T7" s="700" t="s">
        <v>14</v>
      </c>
      <c r="U7" s="701">
        <f t="shared" ref="U7:U14" si="1">H7</f>
        <v>0</v>
      </c>
      <c r="V7" s="700" t="s">
        <v>14</v>
      </c>
      <c r="W7" s="701">
        <f t="shared" ref="W7:W14" si="2">J7</f>
        <v>0</v>
      </c>
      <c r="X7" s="702"/>
      <c r="Y7" s="3694" t="s">
        <v>1677</v>
      </c>
      <c r="Z7" s="3695"/>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4" t="s">
        <v>1680</v>
      </c>
      <c r="Q8" s="3695"/>
      <c r="R8" s="700" t="s">
        <v>14</v>
      </c>
      <c r="S8" s="701">
        <f t="shared" si="0"/>
        <v>100</v>
      </c>
      <c r="T8" s="700" t="s">
        <v>14</v>
      </c>
      <c r="U8" s="701">
        <f t="shared" si="1"/>
        <v>100</v>
      </c>
      <c r="V8" s="700" t="s">
        <v>14</v>
      </c>
      <c r="W8" s="701">
        <f t="shared" si="2"/>
        <v>100</v>
      </c>
      <c r="X8" s="702"/>
      <c r="Y8" s="3694" t="s">
        <v>1680</v>
      </c>
      <c r="Z8" s="3695"/>
      <c r="AA8" s="703">
        <f t="shared" ref="AA8:AA36" si="3">D8/F8</f>
        <v>1</v>
      </c>
      <c r="AB8" s="703">
        <f t="shared" ref="AB8:AB36" si="4">D8/H8</f>
        <v>1</v>
      </c>
      <c r="AC8" s="703">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7" t="s">
        <v>1683</v>
      </c>
      <c r="Q9" s="1342" t="str">
        <f t="shared" ref="Q9:Q14" si="6">B9</f>
        <v>用途</v>
      </c>
      <c r="R9" s="700" t="s">
        <v>14</v>
      </c>
      <c r="S9" s="701">
        <f t="shared" si="0"/>
        <v>100</v>
      </c>
      <c r="T9" s="700" t="s">
        <v>14</v>
      </c>
      <c r="U9" s="701">
        <f t="shared" si="1"/>
        <v>100</v>
      </c>
      <c r="V9" s="700" t="s">
        <v>14</v>
      </c>
      <c r="W9" s="701">
        <f t="shared" si="2"/>
        <v>100</v>
      </c>
      <c r="X9" s="702"/>
      <c r="Y9" s="3659" t="s">
        <v>1684</v>
      </c>
      <c r="Z9" s="52" t="str">
        <f t="shared" ref="Z9:Z14" si="7">Q9</f>
        <v>用途</v>
      </c>
      <c r="AA9" s="703">
        <f t="shared" si="3"/>
        <v>1</v>
      </c>
      <c r="AB9" s="703">
        <f t="shared" si="4"/>
        <v>1</v>
      </c>
      <c r="AC9" s="703">
        <f t="shared" si="5"/>
        <v>1</v>
      </c>
    </row>
    <row r="10" spans="1:29" s="378" customFormat="1" ht="27">
      <c r="A10" s="589"/>
      <c r="B10" s="590" t="s">
        <v>1685</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7"/>
      <c r="Q10" s="1342" t="str">
        <f t="shared" si="6"/>
        <v>土地使用年限（年）</v>
      </c>
      <c r="R10" s="700" t="s">
        <v>14</v>
      </c>
      <c r="S10" s="701">
        <f t="shared" si="0"/>
        <v>100</v>
      </c>
      <c r="T10" s="700" t="s">
        <v>14</v>
      </c>
      <c r="U10" s="701">
        <f t="shared" si="1"/>
        <v>100</v>
      </c>
      <c r="V10" s="700" t="s">
        <v>14</v>
      </c>
      <c r="W10" s="701">
        <f t="shared" si="2"/>
        <v>100</v>
      </c>
      <c r="X10" s="702"/>
      <c r="Y10" s="3659"/>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7"/>
      <c r="Q11" s="1342">
        <f t="shared" si="6"/>
        <v>111</v>
      </c>
      <c r="R11" s="700" t="s">
        <v>14</v>
      </c>
      <c r="S11" s="701">
        <f t="shared" si="0"/>
        <v>100</v>
      </c>
      <c r="T11" s="700" t="s">
        <v>14</v>
      </c>
      <c r="U11" s="701">
        <f t="shared" si="1"/>
        <v>100</v>
      </c>
      <c r="V11" s="700" t="s">
        <v>14</v>
      </c>
      <c r="W11" s="701">
        <f t="shared" si="2"/>
        <v>100</v>
      </c>
      <c r="X11" s="702"/>
      <c r="Y11" s="3659"/>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7"/>
      <c r="Q12" s="1342">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7"/>
      <c r="Q13" s="1342">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703">
        <f t="shared" si="5"/>
        <v>1</v>
      </c>
    </row>
    <row r="14" spans="1:29" ht="85.5">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0" t="s">
        <v>1688</v>
      </c>
      <c r="Q14" s="1351" t="str">
        <f t="shared" si="6"/>
        <v>交通便捷度</v>
      </c>
      <c r="R14" s="704" t="s">
        <v>14</v>
      </c>
      <c r="S14" s="705">
        <f t="shared" si="0"/>
        <v>100</v>
      </c>
      <c r="T14" s="704" t="s">
        <v>14</v>
      </c>
      <c r="U14" s="705">
        <f t="shared" si="1"/>
        <v>100</v>
      </c>
      <c r="V14" s="704" t="s">
        <v>14</v>
      </c>
      <c r="W14" s="705">
        <f t="shared" si="2"/>
        <v>100</v>
      </c>
      <c r="X14" s="1354"/>
      <c r="Y14" s="3730"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31"/>
      <c r="Q15" s="1351"/>
      <c r="R15" s="704"/>
      <c r="S15" s="705"/>
      <c r="T15" s="704"/>
      <c r="U15" s="705"/>
      <c r="V15" s="704"/>
      <c r="W15" s="705"/>
      <c r="X15" s="1354"/>
      <c r="Y15" s="3731"/>
      <c r="Z15" s="1355"/>
      <c r="AA15" s="1352">
        <v>1</v>
      </c>
      <c r="AB15" s="1352">
        <v>1</v>
      </c>
      <c r="AC15" s="1352">
        <v>1</v>
      </c>
    </row>
    <row r="16" spans="1:29" ht="42.75">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1"/>
      <c r="Q16" s="1351" t="str">
        <f>B16</f>
        <v>公共配套设施</v>
      </c>
      <c r="R16" s="704" t="s">
        <v>14</v>
      </c>
      <c r="S16" s="705">
        <f>F16</f>
        <v>100</v>
      </c>
      <c r="T16" s="704" t="s">
        <v>14</v>
      </c>
      <c r="U16" s="705">
        <f>H16</f>
        <v>100</v>
      </c>
      <c r="V16" s="704" t="s">
        <v>14</v>
      </c>
      <c r="W16" s="705">
        <f>J16</f>
        <v>100</v>
      </c>
      <c r="X16" s="1354"/>
      <c r="Y16" s="373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31"/>
      <c r="Q17" s="1351"/>
      <c r="R17" s="704"/>
      <c r="S17" s="705"/>
      <c r="T17" s="704"/>
      <c r="U17" s="705"/>
      <c r="V17" s="704"/>
      <c r="W17" s="705"/>
      <c r="X17" s="1354"/>
      <c r="Y17" s="3731"/>
      <c r="Z17" s="1355"/>
      <c r="AA17" s="1352">
        <v>1</v>
      </c>
      <c r="AB17" s="1352">
        <v>1</v>
      </c>
      <c r="AC17" s="1352">
        <v>1</v>
      </c>
    </row>
    <row r="18" spans="1:29" ht="28.5">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1"/>
      <c r="Q18" s="1351" t="str">
        <f>B18</f>
        <v>基础设施水平</v>
      </c>
      <c r="R18" s="704" t="s">
        <v>14</v>
      </c>
      <c r="S18" s="705">
        <f>F18</f>
        <v>100</v>
      </c>
      <c r="T18" s="704" t="s">
        <v>14</v>
      </c>
      <c r="U18" s="705">
        <f>H18</f>
        <v>100</v>
      </c>
      <c r="V18" s="704" t="s">
        <v>14</v>
      </c>
      <c r="W18" s="705">
        <f>J18</f>
        <v>100</v>
      </c>
      <c r="X18" s="1354"/>
      <c r="Y18" s="373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31"/>
      <c r="Q19" s="1351"/>
      <c r="R19" s="704"/>
      <c r="S19" s="705"/>
      <c r="T19" s="704"/>
      <c r="U19" s="705"/>
      <c r="V19" s="704"/>
      <c r="W19" s="705"/>
      <c r="X19" s="1354"/>
      <c r="Y19" s="3731"/>
      <c r="Z19" s="1355"/>
      <c r="AA19" s="1352">
        <v>1</v>
      </c>
      <c r="AB19" s="1352">
        <v>1</v>
      </c>
      <c r="AC19" s="1352">
        <v>1</v>
      </c>
    </row>
    <row r="20" spans="1:29" ht="57">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1"/>
      <c r="Q20" s="1351" t="str">
        <f>B20</f>
        <v>自然及人文环境</v>
      </c>
      <c r="R20" s="704" t="s">
        <v>14</v>
      </c>
      <c r="S20" s="705">
        <f>F20</f>
        <v>100</v>
      </c>
      <c r="T20" s="704" t="s">
        <v>14</v>
      </c>
      <c r="U20" s="705">
        <f>H20</f>
        <v>100</v>
      </c>
      <c r="V20" s="704" t="s">
        <v>14</v>
      </c>
      <c r="W20" s="705">
        <f>J20</f>
        <v>100</v>
      </c>
      <c r="X20" s="1354"/>
      <c r="Y20" s="373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31"/>
      <c r="Q21" s="1351"/>
      <c r="R21" s="704"/>
      <c r="S21" s="705"/>
      <c r="T21" s="704"/>
      <c r="U21" s="705"/>
      <c r="V21" s="704"/>
      <c r="W21" s="705"/>
      <c r="X21" s="1354"/>
      <c r="Y21" s="3731"/>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1"/>
      <c r="Q22" s="1351" t="str">
        <f>B22</f>
        <v>楼层</v>
      </c>
      <c r="R22" s="704" t="s">
        <v>14</v>
      </c>
      <c r="S22" s="705">
        <f>F22</f>
        <v>100</v>
      </c>
      <c r="T22" s="704" t="s">
        <v>14</v>
      </c>
      <c r="U22" s="705">
        <f>H22</f>
        <v>100</v>
      </c>
      <c r="V22" s="704" t="s">
        <v>14</v>
      </c>
      <c r="W22" s="705">
        <f>J22</f>
        <v>100</v>
      </c>
      <c r="X22" s="1354"/>
      <c r="Y22" s="373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1"/>
      <c r="Q23" s="1351">
        <f>B23</f>
        <v>111</v>
      </c>
      <c r="R23" s="704" t="s">
        <v>14</v>
      </c>
      <c r="S23" s="705">
        <f>F23</f>
        <v>100</v>
      </c>
      <c r="T23" s="704" t="s">
        <v>14</v>
      </c>
      <c r="U23" s="705">
        <f>H23</f>
        <v>100</v>
      </c>
      <c r="V23" s="704" t="s">
        <v>14</v>
      </c>
      <c r="W23" s="705">
        <f>J23</f>
        <v>100</v>
      </c>
      <c r="X23" s="1354"/>
      <c r="Y23" s="373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1"/>
      <c r="Q24" s="1351">
        <f t="shared" ref="Q24:Q36" si="11">B24</f>
        <v>111</v>
      </c>
      <c r="R24" s="704" t="s">
        <v>14</v>
      </c>
      <c r="S24" s="705">
        <f>F24</f>
        <v>100</v>
      </c>
      <c r="T24" s="704" t="s">
        <v>14</v>
      </c>
      <c r="U24" s="705">
        <f>H24</f>
        <v>100</v>
      </c>
      <c r="V24" s="704" t="s">
        <v>14</v>
      </c>
      <c r="W24" s="705">
        <f>J24</f>
        <v>100</v>
      </c>
      <c r="X24" s="1354"/>
      <c r="Y24" s="373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1"/>
      <c r="Q25" s="1342">
        <f t="shared" si="11"/>
        <v>111</v>
      </c>
      <c r="R25" s="700" t="s">
        <v>14</v>
      </c>
      <c r="S25" s="701">
        <f>F25</f>
        <v>100</v>
      </c>
      <c r="T25" s="700" t="s">
        <v>14</v>
      </c>
      <c r="U25" s="701">
        <f>H25</f>
        <v>100</v>
      </c>
      <c r="V25" s="700" t="s">
        <v>14</v>
      </c>
      <c r="W25" s="701">
        <f>J25</f>
        <v>100</v>
      </c>
      <c r="X25" s="702"/>
      <c r="Y25" s="3731"/>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5" t="s">
        <v>1693</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5"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5"/>
      <c r="Q27" s="706" t="str">
        <f t="shared" si="11"/>
        <v>项目停车位配比</v>
      </c>
      <c r="R27" s="707" t="s">
        <v>14</v>
      </c>
      <c r="S27" s="708">
        <f t="shared" si="12"/>
        <v>100</v>
      </c>
      <c r="T27" s="707" t="s">
        <v>14</v>
      </c>
      <c r="U27" s="708">
        <f t="shared" si="13"/>
        <v>100</v>
      </c>
      <c r="V27" s="707" t="s">
        <v>14</v>
      </c>
      <c r="W27" s="708">
        <f t="shared" si="14"/>
        <v>100</v>
      </c>
      <c r="X27" s="709"/>
      <c r="Y27" s="3735"/>
      <c r="Z27" s="710"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5"/>
      <c r="Q28" s="1351" t="str">
        <f t="shared" si="11"/>
        <v>公共部分装修</v>
      </c>
      <c r="R28" s="704" t="s">
        <v>14</v>
      </c>
      <c r="S28" s="705">
        <f t="shared" si="12"/>
        <v>100</v>
      </c>
      <c r="T28" s="704" t="s">
        <v>14</v>
      </c>
      <c r="U28" s="705">
        <f t="shared" si="13"/>
        <v>100</v>
      </c>
      <c r="V28" s="704" t="s">
        <v>14</v>
      </c>
      <c r="W28" s="705">
        <f t="shared" si="14"/>
        <v>100</v>
      </c>
      <c r="X28" s="1354"/>
      <c r="Y28" s="3735"/>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5"/>
      <c r="Q29" s="1351" t="str">
        <f t="shared" si="11"/>
        <v>成新率</v>
      </c>
      <c r="R29" s="704" t="s">
        <v>14</v>
      </c>
      <c r="S29" s="705" t="e">
        <f t="shared" si="12"/>
        <v>#N/A</v>
      </c>
      <c r="T29" s="704" t="s">
        <v>14</v>
      </c>
      <c r="U29" s="705" t="e">
        <f t="shared" si="13"/>
        <v>#N/A</v>
      </c>
      <c r="V29" s="704" t="s">
        <v>14</v>
      </c>
      <c r="W29" s="705" t="e">
        <f t="shared" si="14"/>
        <v>#N/A</v>
      </c>
      <c r="X29" s="1354"/>
      <c r="Y29" s="3735"/>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5"/>
      <c r="Q30" s="1351" t="str">
        <f t="shared" si="11"/>
        <v>物业等级</v>
      </c>
      <c r="R30" s="704" t="s">
        <v>14</v>
      </c>
      <c r="S30" s="705">
        <f t="shared" si="12"/>
        <v>100</v>
      </c>
      <c r="T30" s="704" t="s">
        <v>14</v>
      </c>
      <c r="U30" s="705">
        <f t="shared" si="13"/>
        <v>100</v>
      </c>
      <c r="V30" s="704" t="s">
        <v>14</v>
      </c>
      <c r="W30" s="705">
        <f t="shared" si="14"/>
        <v>100</v>
      </c>
      <c r="X30" s="1354"/>
      <c r="Y30" s="3735"/>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5"/>
      <c r="Q31" s="1342" t="str">
        <f t="shared" si="11"/>
        <v>停车位面积</v>
      </c>
      <c r="R31" s="700" t="s">
        <v>14</v>
      </c>
      <c r="S31" s="701" t="e">
        <f t="shared" si="12"/>
        <v>#N/A</v>
      </c>
      <c r="T31" s="700" t="s">
        <v>14</v>
      </c>
      <c r="U31" s="701" t="e">
        <f t="shared" si="13"/>
        <v>#N/A</v>
      </c>
      <c r="V31" s="700" t="s">
        <v>14</v>
      </c>
      <c r="W31" s="701" t="e">
        <f t="shared" si="14"/>
        <v>#N/A</v>
      </c>
      <c r="X31" s="702"/>
      <c r="Y31" s="3735"/>
      <c r="Z31" s="52" t="str">
        <f t="shared" si="15"/>
        <v>停车位面积</v>
      </c>
      <c r="AA31" s="703" t="e">
        <f t="shared" si="3"/>
        <v>#N/A</v>
      </c>
      <c r="AB31" s="703" t="e">
        <f t="shared" si="4"/>
        <v>#N/A</v>
      </c>
      <c r="AC31" s="703"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5" t="s">
        <v>1693</v>
      </c>
      <c r="Q32" s="1351" t="str">
        <f t="shared" si="11"/>
        <v>车位类型</v>
      </c>
      <c r="R32" s="704" t="s">
        <v>14</v>
      </c>
      <c r="S32" s="705">
        <f t="shared" si="12"/>
        <v>100</v>
      </c>
      <c r="T32" s="704" t="s">
        <v>14</v>
      </c>
      <c r="U32" s="705">
        <f t="shared" si="13"/>
        <v>100</v>
      </c>
      <c r="V32" s="704" t="s">
        <v>14</v>
      </c>
      <c r="W32" s="705">
        <f t="shared" si="14"/>
        <v>100</v>
      </c>
      <c r="X32" s="1354"/>
      <c r="Y32" s="3735"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5"/>
      <c r="Q33" s="1351" t="str">
        <f t="shared" si="11"/>
        <v>是否直接入户</v>
      </c>
      <c r="R33" s="704" t="s">
        <v>14</v>
      </c>
      <c r="S33" s="705">
        <f t="shared" si="12"/>
        <v>100</v>
      </c>
      <c r="T33" s="704" t="s">
        <v>14</v>
      </c>
      <c r="U33" s="705">
        <f t="shared" si="13"/>
        <v>100</v>
      </c>
      <c r="V33" s="704" t="s">
        <v>14</v>
      </c>
      <c r="W33" s="705">
        <f t="shared" si="14"/>
        <v>100</v>
      </c>
      <c r="X33" s="1354"/>
      <c r="Y33" s="373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5"/>
      <c r="Q34" s="1351">
        <f t="shared" si="11"/>
        <v>111</v>
      </c>
      <c r="R34" s="704" t="s">
        <v>14</v>
      </c>
      <c r="S34" s="705">
        <f t="shared" si="12"/>
        <v>100</v>
      </c>
      <c r="T34" s="704" t="s">
        <v>14</v>
      </c>
      <c r="U34" s="705">
        <f t="shared" si="13"/>
        <v>100</v>
      </c>
      <c r="V34" s="704" t="s">
        <v>14</v>
      </c>
      <c r="W34" s="705">
        <f t="shared" si="14"/>
        <v>100</v>
      </c>
      <c r="X34" s="1354"/>
      <c r="Y34" s="373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5"/>
      <c r="Q35" s="706">
        <f t="shared" si="11"/>
        <v>111</v>
      </c>
      <c r="R35" s="707" t="s">
        <v>14</v>
      </c>
      <c r="S35" s="708">
        <f t="shared" si="12"/>
        <v>100</v>
      </c>
      <c r="T35" s="707" t="s">
        <v>14</v>
      </c>
      <c r="U35" s="708">
        <f t="shared" si="13"/>
        <v>100</v>
      </c>
      <c r="V35" s="707" t="s">
        <v>14</v>
      </c>
      <c r="W35" s="708">
        <f t="shared" si="14"/>
        <v>100</v>
      </c>
      <c r="X35" s="709"/>
      <c r="Y35" s="3735"/>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5"/>
      <c r="Q36" s="1351">
        <f t="shared" si="11"/>
        <v>111</v>
      </c>
      <c r="R36" s="704" t="s">
        <v>14</v>
      </c>
      <c r="S36" s="705">
        <f t="shared" si="12"/>
        <v>100</v>
      </c>
      <c r="T36" s="704" t="s">
        <v>14</v>
      </c>
      <c r="U36" s="705">
        <f t="shared" si="13"/>
        <v>100</v>
      </c>
      <c r="V36" s="704" t="s">
        <v>14</v>
      </c>
      <c r="W36" s="705">
        <f t="shared" si="14"/>
        <v>100</v>
      </c>
      <c r="X36" s="1354"/>
      <c r="Y36" s="3735"/>
      <c r="Z36" s="1355">
        <f t="shared" si="15"/>
        <v>111</v>
      </c>
      <c r="AA36" s="1352">
        <f t="shared" si="3"/>
        <v>1</v>
      </c>
      <c r="AB36" s="1352">
        <f t="shared" si="4"/>
        <v>1</v>
      </c>
      <c r="AC36" s="1352">
        <f t="shared" si="5"/>
        <v>1</v>
      </c>
    </row>
    <row r="37" spans="1:29" ht="15">
      <c r="A37" s="430" t="s">
        <v>1841</v>
      </c>
      <c r="B37" s="1972" t="s">
        <v>3348</v>
      </c>
      <c r="C37" s="1153" t="s">
        <v>0</v>
      </c>
      <c r="D37" s="1154"/>
      <c r="E37" s="1155"/>
      <c r="F37" s="1156"/>
      <c r="G37" s="1157"/>
      <c r="H37" s="1158"/>
      <c r="I37" s="1155"/>
      <c r="J37" s="1158"/>
      <c r="K37" s="568"/>
      <c r="L37" s="2722"/>
      <c r="M37" s="2723"/>
      <c r="N37" s="2714"/>
      <c r="O37" s="2723"/>
      <c r="P37" s="3737" t="str">
        <f>A37</f>
        <v>成交单价</v>
      </c>
      <c r="Q37" s="3737"/>
      <c r="R37" s="3738">
        <f>E37</f>
        <v>0</v>
      </c>
      <c r="S37" s="3738"/>
      <c r="T37" s="3738">
        <f>G37</f>
        <v>0</v>
      </c>
      <c r="U37" s="3738"/>
      <c r="V37" s="3738">
        <f>I37</f>
        <v>0</v>
      </c>
      <c r="W37" s="3738"/>
      <c r="X37" s="689"/>
      <c r="Y37" s="711"/>
      <c r="Z37" s="689"/>
      <c r="AA37" s="689"/>
      <c r="AB37" s="689"/>
      <c r="AC37" s="689"/>
    </row>
    <row r="38" spans="1:29" ht="15.75" thickBot="1">
      <c r="A38" s="437" t="s">
        <v>1842</v>
      </c>
      <c r="B38" s="438" t="str">
        <f>B37</f>
        <v>元/平方米</v>
      </c>
      <c r="C38" s="1159" t="e">
        <f>R39</f>
        <v>#DIV/0!</v>
      </c>
      <c r="D38" s="2316" t="s">
        <v>2134</v>
      </c>
      <c r="E38" s="1160" t="e">
        <f>R38</f>
        <v>#DIV/0!</v>
      </c>
      <c r="F38" s="2317"/>
      <c r="G38" s="1159" t="e">
        <f>T38</f>
        <v>#DIV/0!</v>
      </c>
      <c r="H38" s="2317"/>
      <c r="I38" s="1160" t="e">
        <f>V38</f>
        <v>#DIV/0!</v>
      </c>
      <c r="J38" s="2317"/>
      <c r="K38" s="2319">
        <f>F38+H38+J38</f>
        <v>0</v>
      </c>
      <c r="L38" s="2722"/>
      <c r="M38" s="2723"/>
      <c r="N38" s="2723"/>
      <c r="O38" s="2723"/>
      <c r="P38" s="3737" t="str">
        <f>A38</f>
        <v>比较价值（元/平方米）</v>
      </c>
      <c r="Q38" s="3737"/>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689"/>
      <c r="Y38" s="689"/>
      <c r="Z38" s="689"/>
      <c r="AA38" s="689"/>
      <c r="AB38" s="689"/>
      <c r="AC38" s="689"/>
    </row>
    <row r="39" spans="1:29" ht="15.75" thickBot="1">
      <c r="A39" s="441" t="s">
        <v>1843</v>
      </c>
      <c r="B39" s="442"/>
      <c r="C39" s="1162" t="e">
        <f>R39</f>
        <v>#DIV/0!</v>
      </c>
      <c r="D39" s="1162"/>
      <c r="E39" s="1162"/>
      <c r="F39" s="1162"/>
      <c r="G39" s="1162"/>
      <c r="H39" s="1162"/>
      <c r="I39" s="1162"/>
      <c r="J39" s="1162"/>
      <c r="K39" s="569"/>
      <c r="L39" s="2722"/>
      <c r="M39" s="2723"/>
      <c r="N39" s="2723"/>
      <c r="O39" s="2723"/>
      <c r="P39" s="3772" t="str">
        <f>A39</f>
        <v>估价对象XX用房的比较价值（楼面单价，元/平方米）</v>
      </c>
      <c r="Q39" s="3773"/>
      <c r="R39" s="3776" t="e">
        <f>IF(F1="售价",ROUND(IF(D38="简单平均",AVERAGE(R38:W38),R38*F38+T38*H38+V38*J38),0),ROUND(IF(D38="简单平均",AVERAGE(R38:V38),R38*F38+T38*H38+V38*J38),1))</f>
        <v>#DIV/0!</v>
      </c>
      <c r="S39" s="3776"/>
      <c r="T39" s="3776"/>
      <c r="U39" s="3776"/>
      <c r="V39" s="3776"/>
      <c r="W39" s="3776"/>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1847</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1848</v>
      </c>
      <c r="B48" s="455"/>
      <c r="C48" s="1183" t="str">
        <f>YEAR(C7)&amp;"-"&amp;MONTH(C7)</f>
        <v>2025-10</v>
      </c>
      <c r="D48" s="1184">
        <f>EDATE(C48,-1)</f>
        <v>45901</v>
      </c>
      <c r="E48" s="1184">
        <f t="shared" ref="E48:O48" si="16">EDATE(D48,-1)</f>
        <v>45870</v>
      </c>
      <c r="F48" s="1184">
        <f t="shared" si="16"/>
        <v>45839</v>
      </c>
      <c r="G48" s="1184">
        <f t="shared" si="16"/>
        <v>45809</v>
      </c>
      <c r="H48" s="1184">
        <f t="shared" si="16"/>
        <v>45778</v>
      </c>
      <c r="I48" s="1184">
        <f t="shared" si="16"/>
        <v>45748</v>
      </c>
      <c r="J48" s="1184">
        <f t="shared" si="16"/>
        <v>45717</v>
      </c>
      <c r="K48" s="1184">
        <f t="shared" si="16"/>
        <v>45689</v>
      </c>
      <c r="L48" s="1184">
        <f t="shared" si="16"/>
        <v>45658</v>
      </c>
      <c r="M48" s="1184">
        <f t="shared" si="16"/>
        <v>45627</v>
      </c>
      <c r="N48" s="1184">
        <f t="shared" si="16"/>
        <v>45597</v>
      </c>
      <c r="O48" s="1184">
        <f t="shared" si="16"/>
        <v>45566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1685</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1724</v>
      </c>
      <c r="C65" s="527" t="s">
        <v>1718</v>
      </c>
      <c r="D65" s="527" t="s">
        <v>1719</v>
      </c>
      <c r="E65" s="527" t="s">
        <v>1720</v>
      </c>
      <c r="F65" s="527" t="s">
        <v>1721</v>
      </c>
      <c r="G65" s="527" t="s">
        <v>1722</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1810</v>
      </c>
      <c r="C67" s="608" t="s">
        <v>1796</v>
      </c>
      <c r="D67" s="608" t="s">
        <v>1797</v>
      </c>
      <c r="E67" s="608" t="s">
        <v>1798</v>
      </c>
      <c r="F67" s="608" t="s">
        <v>1799</v>
      </c>
      <c r="G67" s="608" t="s">
        <v>1800</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1730</v>
      </c>
      <c r="C69" s="527" t="s">
        <v>1718</v>
      </c>
      <c r="D69" s="527" t="s">
        <v>1719</v>
      </c>
      <c r="E69" s="527" t="s">
        <v>1720</v>
      </c>
      <c r="F69" s="527" t="s">
        <v>1721</v>
      </c>
      <c r="G69" s="527" t="s">
        <v>1722</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1849</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1691</v>
      </c>
      <c r="B79" s="477" t="s">
        <v>1850</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1851</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1737</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1853</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1855</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1856</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3328</v>
      </c>
      <c r="C1" s="1223" t="s">
        <v>1659</v>
      </c>
      <c r="D1" s="1224"/>
      <c r="E1" s="3431"/>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1766</v>
      </c>
      <c r="B4" s="356"/>
      <c r="C4" s="3712" t="s">
        <v>1767</v>
      </c>
      <c r="D4" s="3713"/>
      <c r="E4" s="3714" t="s">
        <v>1768</v>
      </c>
      <c r="F4" s="3715"/>
      <c r="G4" s="3712" t="s">
        <v>1769</v>
      </c>
      <c r="H4" s="3713"/>
      <c r="I4" s="3712" t="s">
        <v>1770</v>
      </c>
      <c r="J4" s="3713"/>
      <c r="K4" s="559" t="s">
        <v>1771</v>
      </c>
      <c r="L4" s="2713"/>
      <c r="M4" s="2714"/>
      <c r="N4" s="2714"/>
      <c r="O4" s="2714"/>
      <c r="P4" s="3768" t="s">
        <v>1772</v>
      </c>
      <c r="Q4" s="3769"/>
      <c r="R4" s="3764" t="s">
        <v>1768</v>
      </c>
      <c r="S4" s="3765"/>
      <c r="T4" s="3764" t="s">
        <v>1769</v>
      </c>
      <c r="U4" s="3765"/>
      <c r="V4" s="3725" t="s">
        <v>1770</v>
      </c>
      <c r="W4" s="3725"/>
      <c r="X4" s="1354"/>
      <c r="Y4" s="3764" t="s">
        <v>1772</v>
      </c>
      <c r="Z4" s="3765"/>
      <c r="AA4" s="3763" t="s">
        <v>1768</v>
      </c>
      <c r="AB4" s="3692" t="s">
        <v>1769</v>
      </c>
      <c r="AC4" s="3763" t="s">
        <v>1770</v>
      </c>
    </row>
    <row r="5" spans="1:29" ht="15">
      <c r="A5" s="358"/>
      <c r="B5" s="359"/>
      <c r="C5" s="3767" t="s">
        <v>1670</v>
      </c>
      <c r="D5" s="3703"/>
      <c r="E5" s="3766" t="s">
        <v>1671</v>
      </c>
      <c r="F5" s="3701"/>
      <c r="G5" s="3767" t="s">
        <v>1672</v>
      </c>
      <c r="H5" s="3703"/>
      <c r="I5" s="3767" t="s">
        <v>1673</v>
      </c>
      <c r="J5" s="3703"/>
      <c r="K5" s="559"/>
      <c r="L5" s="2713"/>
      <c r="M5" s="2714"/>
      <c r="N5" s="2714"/>
      <c r="O5" s="2714"/>
      <c r="P5" s="3770"/>
      <c r="Q5" s="3719"/>
      <c r="R5" s="3698"/>
      <c r="S5" s="3699"/>
      <c r="T5" s="3698"/>
      <c r="U5" s="3699"/>
      <c r="V5" s="3725"/>
      <c r="W5" s="3725"/>
      <c r="X5" s="1354"/>
      <c r="Y5" s="3698"/>
      <c r="Z5" s="3699"/>
      <c r="AA5" s="3692"/>
      <c r="AB5" s="3692"/>
      <c r="AC5" s="3692"/>
    </row>
    <row r="6" spans="1:29" ht="15.75" thickBot="1">
      <c r="A6" s="360"/>
      <c r="B6" s="361"/>
      <c r="C6" s="3704" t="s">
        <v>1674</v>
      </c>
      <c r="D6" s="3705"/>
      <c r="E6" s="3706" t="s">
        <v>1674</v>
      </c>
      <c r="F6" s="3707"/>
      <c r="G6" s="3704" t="s">
        <v>1674</v>
      </c>
      <c r="H6" s="3705"/>
      <c r="I6" s="3704" t="s">
        <v>1674</v>
      </c>
      <c r="J6" s="3705"/>
      <c r="K6" s="559" t="s">
        <v>1675</v>
      </c>
      <c r="L6" s="2713"/>
      <c r="M6" s="2714"/>
      <c r="N6" s="2714"/>
      <c r="O6" s="2714"/>
      <c r="P6" s="3771"/>
      <c r="Q6" s="3721"/>
      <c r="R6" s="3698"/>
      <c r="S6" s="3699"/>
      <c r="T6" s="3722"/>
      <c r="U6" s="3723"/>
      <c r="V6" s="3725"/>
      <c r="W6" s="3725"/>
      <c r="X6" s="1354"/>
      <c r="Y6" s="3722"/>
      <c r="Z6" s="3723"/>
      <c r="AA6" s="3693"/>
      <c r="AB6" s="3693"/>
      <c r="AC6" s="3693"/>
    </row>
    <row r="7" spans="1:29" s="108" customFormat="1" ht="15.75" thickBot="1">
      <c r="A7" s="362" t="s">
        <v>1676</v>
      </c>
      <c r="B7" s="363"/>
      <c r="C7" s="364">
        <f>'数据-取费表'!B2</f>
        <v>45940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94" t="s">
        <v>1677</v>
      </c>
      <c r="Q7" s="3727"/>
      <c r="R7" s="700" t="s">
        <v>14</v>
      </c>
      <c r="S7" s="701">
        <f t="shared" ref="S7:S14" si="0">F7</f>
        <v>0</v>
      </c>
      <c r="T7" s="700" t="s">
        <v>14</v>
      </c>
      <c r="U7" s="701">
        <f t="shared" ref="U7:U14" si="1">H7</f>
        <v>0</v>
      </c>
      <c r="V7" s="700" t="s">
        <v>14</v>
      </c>
      <c r="W7" s="701">
        <f t="shared" ref="W7:W14" si="2">J7</f>
        <v>0</v>
      </c>
      <c r="X7" s="702"/>
      <c r="Y7" s="3694" t="s">
        <v>1677</v>
      </c>
      <c r="Z7" s="3695"/>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4" t="s">
        <v>1680</v>
      </c>
      <c r="Q8" s="3695"/>
      <c r="R8" s="700" t="s">
        <v>14</v>
      </c>
      <c r="S8" s="701">
        <f t="shared" si="0"/>
        <v>100</v>
      </c>
      <c r="T8" s="700" t="s">
        <v>14</v>
      </c>
      <c r="U8" s="701">
        <f t="shared" si="1"/>
        <v>100</v>
      </c>
      <c r="V8" s="700" t="s">
        <v>14</v>
      </c>
      <c r="W8" s="701">
        <f t="shared" si="2"/>
        <v>100</v>
      </c>
      <c r="X8" s="702"/>
      <c r="Y8" s="3694" t="s">
        <v>1680</v>
      </c>
      <c r="Z8" s="3695"/>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7" t="s">
        <v>1683</v>
      </c>
      <c r="Q9" s="1342" t="str">
        <f t="shared" ref="Q9:Q14" si="6">B9</f>
        <v>用途</v>
      </c>
      <c r="R9" s="700" t="s">
        <v>14</v>
      </c>
      <c r="S9" s="701">
        <f t="shared" si="0"/>
        <v>100</v>
      </c>
      <c r="T9" s="700" t="s">
        <v>14</v>
      </c>
      <c r="U9" s="701">
        <f t="shared" si="1"/>
        <v>100</v>
      </c>
      <c r="V9" s="700" t="s">
        <v>14</v>
      </c>
      <c r="W9" s="701">
        <f t="shared" si="2"/>
        <v>100</v>
      </c>
      <c r="X9" s="702"/>
      <c r="Y9" s="3659" t="s">
        <v>1684</v>
      </c>
      <c r="Z9" s="52" t="str">
        <f t="shared" ref="Z9:Z14" si="7">Q9</f>
        <v>用途</v>
      </c>
      <c r="AA9" s="703">
        <f t="shared" si="3"/>
        <v>1</v>
      </c>
      <c r="AB9" s="703">
        <f t="shared" si="4"/>
        <v>1</v>
      </c>
      <c r="AC9" s="703">
        <f t="shared" si="5"/>
        <v>1</v>
      </c>
    </row>
    <row r="10" spans="1:29" s="378" customFormat="1" ht="27">
      <c r="A10" s="374"/>
      <c r="B10" s="375" t="s">
        <v>1685</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7"/>
      <c r="Q10" s="1342" t="str">
        <f t="shared" si="6"/>
        <v>土地使用年限（年）</v>
      </c>
      <c r="R10" s="700" t="s">
        <v>14</v>
      </c>
      <c r="S10" s="701">
        <f t="shared" si="0"/>
        <v>100</v>
      </c>
      <c r="T10" s="700" t="s">
        <v>14</v>
      </c>
      <c r="U10" s="701">
        <f t="shared" si="1"/>
        <v>100</v>
      </c>
      <c r="V10" s="700" t="s">
        <v>14</v>
      </c>
      <c r="W10" s="701">
        <f t="shared" si="2"/>
        <v>100</v>
      </c>
      <c r="X10" s="702"/>
      <c r="Y10" s="365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7"/>
      <c r="Q11" s="1342">
        <f t="shared" si="6"/>
        <v>111</v>
      </c>
      <c r="R11" s="700" t="s">
        <v>14</v>
      </c>
      <c r="S11" s="701">
        <f t="shared" si="0"/>
        <v>100</v>
      </c>
      <c r="T11" s="700" t="s">
        <v>14</v>
      </c>
      <c r="U11" s="701">
        <f t="shared" si="1"/>
        <v>100</v>
      </c>
      <c r="V11" s="700" t="s">
        <v>14</v>
      </c>
      <c r="W11" s="701">
        <f t="shared" si="2"/>
        <v>100</v>
      </c>
      <c r="X11" s="702"/>
      <c r="Y11" s="365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7"/>
      <c r="Q12" s="1342">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37"/>
      <c r="Q13" s="1342">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703">
        <f t="shared" si="5"/>
        <v>1</v>
      </c>
    </row>
    <row r="14" spans="1:29" ht="85.5">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0" t="s">
        <v>1688</v>
      </c>
      <c r="Q14" s="1351" t="str">
        <f t="shared" si="6"/>
        <v>交通便捷度</v>
      </c>
      <c r="R14" s="704" t="s">
        <v>14</v>
      </c>
      <c r="S14" s="705">
        <f t="shared" si="0"/>
        <v>100</v>
      </c>
      <c r="T14" s="704" t="s">
        <v>14</v>
      </c>
      <c r="U14" s="705">
        <f t="shared" si="1"/>
        <v>100</v>
      </c>
      <c r="V14" s="704" t="s">
        <v>14</v>
      </c>
      <c r="W14" s="705">
        <f t="shared" si="2"/>
        <v>100</v>
      </c>
      <c r="X14" s="1354"/>
      <c r="Y14" s="3730"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31"/>
      <c r="Q15" s="1351"/>
      <c r="R15" s="704"/>
      <c r="S15" s="705"/>
      <c r="T15" s="704"/>
      <c r="U15" s="705"/>
      <c r="V15" s="704"/>
      <c r="W15" s="705"/>
      <c r="X15" s="1354"/>
      <c r="Y15" s="3731"/>
      <c r="Z15" s="1355"/>
      <c r="AA15" s="1352">
        <v>1</v>
      </c>
      <c r="AB15" s="1352">
        <v>1</v>
      </c>
      <c r="AC15" s="1352">
        <v>1</v>
      </c>
    </row>
    <row r="16" spans="1:29" ht="42.75">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1"/>
      <c r="Q16" s="1351" t="str">
        <f>B16</f>
        <v>公共配套设施</v>
      </c>
      <c r="R16" s="704" t="s">
        <v>14</v>
      </c>
      <c r="S16" s="705">
        <f>F16</f>
        <v>100</v>
      </c>
      <c r="T16" s="704" t="s">
        <v>14</v>
      </c>
      <c r="U16" s="705">
        <f>H16</f>
        <v>100</v>
      </c>
      <c r="V16" s="704" t="s">
        <v>14</v>
      </c>
      <c r="W16" s="705">
        <f>J16</f>
        <v>100</v>
      </c>
      <c r="X16" s="1354"/>
      <c r="Y16" s="373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31"/>
      <c r="Q17" s="1351"/>
      <c r="R17" s="704"/>
      <c r="S17" s="705"/>
      <c r="T17" s="704"/>
      <c r="U17" s="705"/>
      <c r="V17" s="704"/>
      <c r="W17" s="705"/>
      <c r="X17" s="1354"/>
      <c r="Y17" s="3731"/>
      <c r="Z17" s="1355"/>
      <c r="AA17" s="1352">
        <v>1</v>
      </c>
      <c r="AB17" s="1352">
        <v>1</v>
      </c>
      <c r="AC17" s="1352">
        <v>1</v>
      </c>
    </row>
    <row r="18" spans="1:29" ht="28.5">
      <c r="A18" s="379"/>
      <c r="B18" s="1130"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1"/>
      <c r="Q18" s="1351" t="str">
        <f>B18</f>
        <v>基础设施水平</v>
      </c>
      <c r="R18" s="704" t="s">
        <v>14</v>
      </c>
      <c r="S18" s="705">
        <f>F18</f>
        <v>100</v>
      </c>
      <c r="T18" s="704" t="s">
        <v>14</v>
      </c>
      <c r="U18" s="705">
        <f>H18</f>
        <v>100</v>
      </c>
      <c r="V18" s="704" t="s">
        <v>14</v>
      </c>
      <c r="W18" s="705">
        <f>J18</f>
        <v>100</v>
      </c>
      <c r="X18" s="1354"/>
      <c r="Y18" s="373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31"/>
      <c r="Q19" s="1351"/>
      <c r="R19" s="704"/>
      <c r="S19" s="705"/>
      <c r="T19" s="704"/>
      <c r="U19" s="705"/>
      <c r="V19" s="704"/>
      <c r="W19" s="705"/>
      <c r="X19" s="1354"/>
      <c r="Y19" s="3731"/>
      <c r="Z19" s="1355"/>
      <c r="AA19" s="1352">
        <v>1</v>
      </c>
      <c r="AB19" s="1352">
        <v>1</v>
      </c>
      <c r="AC19" s="1352">
        <v>1</v>
      </c>
    </row>
    <row r="20" spans="1:29" ht="57">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1"/>
      <c r="Q20" s="1351" t="str">
        <f>B20</f>
        <v>自然及人文环境</v>
      </c>
      <c r="R20" s="704" t="s">
        <v>14</v>
      </c>
      <c r="S20" s="705">
        <f>F20</f>
        <v>100</v>
      </c>
      <c r="T20" s="704" t="s">
        <v>14</v>
      </c>
      <c r="U20" s="705">
        <f>H20</f>
        <v>100</v>
      </c>
      <c r="V20" s="704" t="s">
        <v>14</v>
      </c>
      <c r="W20" s="705">
        <f>J20</f>
        <v>100</v>
      </c>
      <c r="X20" s="1354"/>
      <c r="Y20" s="373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31"/>
      <c r="Q21" s="1351"/>
      <c r="R21" s="704"/>
      <c r="S21" s="705"/>
      <c r="T21" s="704"/>
      <c r="U21" s="705"/>
      <c r="V21" s="704"/>
      <c r="W21" s="705"/>
      <c r="X21" s="1354"/>
      <c r="Y21" s="3731"/>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1"/>
      <c r="Q22" s="1351" t="str">
        <f>B22</f>
        <v>楼层</v>
      </c>
      <c r="R22" s="704" t="s">
        <v>14</v>
      </c>
      <c r="S22" s="705">
        <f>F22</f>
        <v>100</v>
      </c>
      <c r="T22" s="704" t="s">
        <v>14</v>
      </c>
      <c r="U22" s="705">
        <f>H22</f>
        <v>100</v>
      </c>
      <c r="V22" s="704" t="s">
        <v>14</v>
      </c>
      <c r="W22" s="705">
        <f>J22</f>
        <v>100</v>
      </c>
      <c r="X22" s="1354"/>
      <c r="Y22" s="373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1"/>
      <c r="Q23" s="1351">
        <f>B23</f>
        <v>111</v>
      </c>
      <c r="R23" s="704" t="s">
        <v>14</v>
      </c>
      <c r="S23" s="705">
        <f>F23</f>
        <v>100</v>
      </c>
      <c r="T23" s="704" t="s">
        <v>14</v>
      </c>
      <c r="U23" s="705">
        <f>H23</f>
        <v>100</v>
      </c>
      <c r="V23" s="704" t="s">
        <v>14</v>
      </c>
      <c r="W23" s="705">
        <f>J23</f>
        <v>100</v>
      </c>
      <c r="X23" s="1354"/>
      <c r="Y23" s="373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1"/>
      <c r="Q24" s="1351">
        <f t="shared" ref="Q24:Q34" si="11">B24</f>
        <v>111</v>
      </c>
      <c r="R24" s="704" t="s">
        <v>14</v>
      </c>
      <c r="S24" s="705">
        <f>F24</f>
        <v>100</v>
      </c>
      <c r="T24" s="704" t="s">
        <v>14</v>
      </c>
      <c r="U24" s="705">
        <f>H24</f>
        <v>100</v>
      </c>
      <c r="V24" s="704" t="s">
        <v>14</v>
      </c>
      <c r="W24" s="705">
        <f>J24</f>
        <v>100</v>
      </c>
      <c r="X24" s="1354"/>
      <c r="Y24" s="373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31"/>
      <c r="Q25" s="1342">
        <f t="shared" si="11"/>
        <v>111</v>
      </c>
      <c r="R25" s="700" t="s">
        <v>14</v>
      </c>
      <c r="S25" s="701">
        <f>F25</f>
        <v>100</v>
      </c>
      <c r="T25" s="700" t="s">
        <v>14</v>
      </c>
      <c r="U25" s="701">
        <f>H25</f>
        <v>100</v>
      </c>
      <c r="V25" s="700" t="s">
        <v>14</v>
      </c>
      <c r="W25" s="701">
        <f>J25</f>
        <v>100</v>
      </c>
      <c r="X25" s="702"/>
      <c r="Y25" s="3731"/>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75" t="s">
        <v>1693</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5"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5"/>
      <c r="Q27" s="706" t="str">
        <f t="shared" si="11"/>
        <v>成新率</v>
      </c>
      <c r="R27" s="707" t="s">
        <v>14</v>
      </c>
      <c r="S27" s="708" t="e">
        <f t="shared" si="12"/>
        <v>#N/A</v>
      </c>
      <c r="T27" s="707" t="s">
        <v>14</v>
      </c>
      <c r="U27" s="708" t="e">
        <f t="shared" si="13"/>
        <v>#N/A</v>
      </c>
      <c r="V27" s="707" t="s">
        <v>14</v>
      </c>
      <c r="W27" s="708" t="e">
        <f t="shared" si="14"/>
        <v>#N/A</v>
      </c>
      <c r="X27" s="709"/>
      <c r="Y27" s="3735"/>
      <c r="Z27" s="710"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5"/>
      <c r="Q28" s="1351" t="str">
        <f t="shared" si="11"/>
        <v>物业等级</v>
      </c>
      <c r="R28" s="704" t="s">
        <v>14</v>
      </c>
      <c r="S28" s="705">
        <f t="shared" si="12"/>
        <v>100</v>
      </c>
      <c r="T28" s="704" t="s">
        <v>14</v>
      </c>
      <c r="U28" s="705">
        <f t="shared" si="13"/>
        <v>100</v>
      </c>
      <c r="V28" s="704" t="s">
        <v>14</v>
      </c>
      <c r="W28" s="705">
        <f t="shared" si="14"/>
        <v>100</v>
      </c>
      <c r="X28" s="1354"/>
      <c r="Y28" s="3735"/>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5"/>
      <c r="Q29" s="1351" t="str">
        <f t="shared" si="11"/>
        <v>有无电梯</v>
      </c>
      <c r="R29" s="704" t="s">
        <v>14</v>
      </c>
      <c r="S29" s="705">
        <f t="shared" si="12"/>
        <v>100</v>
      </c>
      <c r="T29" s="704" t="s">
        <v>14</v>
      </c>
      <c r="U29" s="705">
        <f t="shared" si="13"/>
        <v>100</v>
      </c>
      <c r="V29" s="704" t="s">
        <v>14</v>
      </c>
      <c r="W29" s="705">
        <f t="shared" si="14"/>
        <v>100</v>
      </c>
      <c r="X29" s="1354"/>
      <c r="Y29" s="3735"/>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5"/>
      <c r="Q30" s="1351" t="str">
        <f t="shared" si="11"/>
        <v>建筑面积</v>
      </c>
      <c r="R30" s="704" t="s">
        <v>14</v>
      </c>
      <c r="S30" s="705" t="e">
        <f t="shared" si="12"/>
        <v>#N/A</v>
      </c>
      <c r="T30" s="704" t="s">
        <v>14</v>
      </c>
      <c r="U30" s="705" t="e">
        <f t="shared" si="13"/>
        <v>#N/A</v>
      </c>
      <c r="V30" s="704" t="s">
        <v>14</v>
      </c>
      <c r="W30" s="705" t="e">
        <f t="shared" si="14"/>
        <v>#N/A</v>
      </c>
      <c r="X30" s="1354"/>
      <c r="Y30" s="3735"/>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5"/>
      <c r="Q31" s="1342" t="str">
        <f t="shared" si="11"/>
        <v>是否封闭</v>
      </c>
      <c r="R31" s="700" t="s">
        <v>14</v>
      </c>
      <c r="S31" s="701">
        <f t="shared" si="12"/>
        <v>100</v>
      </c>
      <c r="T31" s="700" t="s">
        <v>14</v>
      </c>
      <c r="U31" s="701">
        <f t="shared" si="13"/>
        <v>100</v>
      </c>
      <c r="V31" s="700" t="s">
        <v>14</v>
      </c>
      <c r="W31" s="701">
        <f t="shared" si="14"/>
        <v>100</v>
      </c>
      <c r="X31" s="702"/>
      <c r="Y31" s="373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5" t="s">
        <v>1693</v>
      </c>
      <c r="Q32" s="1351">
        <f t="shared" si="11"/>
        <v>111</v>
      </c>
      <c r="R32" s="704" t="s">
        <v>14</v>
      </c>
      <c r="S32" s="705">
        <f t="shared" si="12"/>
        <v>100</v>
      </c>
      <c r="T32" s="704" t="s">
        <v>14</v>
      </c>
      <c r="U32" s="705">
        <f t="shared" si="13"/>
        <v>100</v>
      </c>
      <c r="V32" s="704" t="s">
        <v>14</v>
      </c>
      <c r="W32" s="705">
        <f t="shared" si="14"/>
        <v>100</v>
      </c>
      <c r="X32" s="1354"/>
      <c r="Y32" s="3735"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5"/>
      <c r="Q33" s="1351">
        <f t="shared" si="11"/>
        <v>111</v>
      </c>
      <c r="R33" s="704" t="s">
        <v>14</v>
      </c>
      <c r="S33" s="705">
        <f t="shared" si="12"/>
        <v>100</v>
      </c>
      <c r="T33" s="704" t="s">
        <v>14</v>
      </c>
      <c r="U33" s="705">
        <f t="shared" si="13"/>
        <v>100</v>
      </c>
      <c r="V33" s="704" t="s">
        <v>14</v>
      </c>
      <c r="W33" s="705">
        <f t="shared" si="14"/>
        <v>100</v>
      </c>
      <c r="X33" s="1354"/>
      <c r="Y33" s="373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35"/>
      <c r="Q34" s="1351">
        <f t="shared" si="11"/>
        <v>111</v>
      </c>
      <c r="R34" s="704" t="s">
        <v>14</v>
      </c>
      <c r="S34" s="705">
        <f t="shared" si="12"/>
        <v>100</v>
      </c>
      <c r="T34" s="704" t="s">
        <v>14</v>
      </c>
      <c r="U34" s="705">
        <f t="shared" si="13"/>
        <v>100</v>
      </c>
      <c r="V34" s="704" t="s">
        <v>14</v>
      </c>
      <c r="W34" s="705">
        <f t="shared" si="14"/>
        <v>100</v>
      </c>
      <c r="X34" s="1354"/>
      <c r="Y34" s="3735"/>
      <c r="Z34" s="1355">
        <f t="shared" si="15"/>
        <v>111</v>
      </c>
      <c r="AA34" s="1352">
        <f t="shared" si="3"/>
        <v>1</v>
      </c>
      <c r="AB34" s="1352">
        <f t="shared" si="4"/>
        <v>1</v>
      </c>
      <c r="AC34" s="1352">
        <f t="shared" si="5"/>
        <v>1</v>
      </c>
    </row>
    <row r="35" spans="1:30" ht="15">
      <c r="A35" s="430" t="s">
        <v>1705</v>
      </c>
      <c r="B35" s="431"/>
      <c r="C35" s="1153" t="s">
        <v>0</v>
      </c>
      <c r="D35" s="1154"/>
      <c r="E35" s="1155"/>
      <c r="F35" s="1156"/>
      <c r="G35" s="1157"/>
      <c r="H35" s="1158"/>
      <c r="I35" s="1155"/>
      <c r="J35" s="1158"/>
      <c r="K35" s="713"/>
      <c r="L35" s="2722"/>
      <c r="M35" s="2723"/>
      <c r="N35" s="2714"/>
      <c r="O35" s="2723"/>
      <c r="P35" s="3737" t="str">
        <f>A35</f>
        <v>成交单价（元/平方米）</v>
      </c>
      <c r="Q35" s="3737"/>
      <c r="R35" s="3738">
        <f>E35</f>
        <v>0</v>
      </c>
      <c r="S35" s="3738"/>
      <c r="T35" s="3738">
        <f>G35</f>
        <v>0</v>
      </c>
      <c r="U35" s="3738"/>
      <c r="V35" s="3738">
        <f>I35</f>
        <v>0</v>
      </c>
      <c r="W35" s="3738"/>
      <c r="X35" s="689"/>
      <c r="Y35" s="711"/>
      <c r="Z35" s="689"/>
      <c r="AA35" s="689"/>
      <c r="AB35" s="689"/>
      <c r="AC35" s="689"/>
    </row>
    <row r="36" spans="1:30" ht="15.75" thickBot="1">
      <c r="A36" s="437" t="s">
        <v>1790</v>
      </c>
      <c r="B36" s="438"/>
      <c r="C36" s="1159" t="e">
        <f>R37</f>
        <v>#DIV/0!</v>
      </c>
      <c r="D36" s="2316" t="s">
        <v>2134</v>
      </c>
      <c r="E36" s="1160" t="e">
        <f>R36</f>
        <v>#DIV/0!</v>
      </c>
      <c r="F36" s="2317"/>
      <c r="G36" s="1159" t="e">
        <f>T36</f>
        <v>#DIV/0!</v>
      </c>
      <c r="H36" s="2317"/>
      <c r="I36" s="1160" t="e">
        <f>V36</f>
        <v>#DIV/0!</v>
      </c>
      <c r="J36" s="2317"/>
      <c r="K36" s="2319">
        <f>F36+H36+J36</f>
        <v>0</v>
      </c>
      <c r="L36" s="2722"/>
      <c r="M36" s="2723"/>
      <c r="N36" s="2714"/>
      <c r="O36" s="2723"/>
      <c r="P36" s="3737" t="str">
        <f>A36</f>
        <v>比较价值（元/平方米）</v>
      </c>
      <c r="Q36" s="3737"/>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689"/>
      <c r="Y36" s="689"/>
      <c r="Z36" s="689"/>
      <c r="AA36" s="689"/>
      <c r="AB36" s="689"/>
      <c r="AC36" s="689"/>
    </row>
    <row r="37" spans="1:30" ht="15.75" thickBot="1">
      <c r="A37" s="441" t="s">
        <v>1791</v>
      </c>
      <c r="B37" s="442"/>
      <c r="C37" s="1162" t="e">
        <f>R37</f>
        <v>#DIV/0!</v>
      </c>
      <c r="D37" s="1162"/>
      <c r="E37" s="1162"/>
      <c r="F37" s="1162"/>
      <c r="G37" s="1162"/>
      <c r="H37" s="1162"/>
      <c r="I37" s="1162"/>
      <c r="J37" s="1162"/>
      <c r="K37" s="714"/>
      <c r="L37" s="2722"/>
      <c r="M37" s="2723"/>
      <c r="N37" s="2723"/>
      <c r="O37" s="2723"/>
      <c r="P37" s="3772" t="str">
        <f>A37</f>
        <v>估价对象XX用房的比较价值（楼面单价，元/平方米）</v>
      </c>
      <c r="Q37" s="3773"/>
      <c r="R37" s="3776" t="e">
        <f>IF(F1="售价",ROUND(IF(D36="简单平均",AVERAGE(R36:W36),R36*F36+T36*H36+V36*J36),0),ROUND(IF(D36="简单平均",AVERAGE(R36:V36),R36*F36+T36*H36+V36*J36),1))</f>
        <v>#DIV/0!</v>
      </c>
      <c r="S37" s="3776"/>
      <c r="T37" s="3776"/>
      <c r="U37" s="3776"/>
      <c r="V37" s="3776"/>
      <c r="W37" s="3776"/>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1795</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1676</v>
      </c>
      <c r="B46" s="455"/>
      <c r="C46" s="1183" t="str">
        <f>YEAR(C7)&amp;"-"&amp;MONTH(C7)</f>
        <v>2025-10</v>
      </c>
      <c r="D46" s="1184">
        <f>EDATE(C46,-1)</f>
        <v>45901</v>
      </c>
      <c r="E46" s="1184">
        <f t="shared" ref="E46:O46" si="16">EDATE(D46,-1)</f>
        <v>45870</v>
      </c>
      <c r="F46" s="1184">
        <f t="shared" si="16"/>
        <v>45839</v>
      </c>
      <c r="G46" s="1184">
        <f t="shared" si="16"/>
        <v>45809</v>
      </c>
      <c r="H46" s="1184">
        <f t="shared" si="16"/>
        <v>45778</v>
      </c>
      <c r="I46" s="1184">
        <f t="shared" si="16"/>
        <v>45748</v>
      </c>
      <c r="J46" s="1184">
        <f t="shared" si="16"/>
        <v>45717</v>
      </c>
      <c r="K46" s="1184">
        <f t="shared" si="16"/>
        <v>45689</v>
      </c>
      <c r="L46" s="1184">
        <f t="shared" si="16"/>
        <v>45658</v>
      </c>
      <c r="M46" s="1184">
        <f t="shared" si="16"/>
        <v>45627</v>
      </c>
      <c r="N46" s="1184">
        <f t="shared" si="16"/>
        <v>45597</v>
      </c>
      <c r="O46" s="1184">
        <f t="shared" si="16"/>
        <v>45566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1685</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1860</v>
      </c>
      <c r="C63" s="527" t="s">
        <v>1718</v>
      </c>
      <c r="D63" s="527" t="s">
        <v>1719</v>
      </c>
      <c r="E63" s="527" t="s">
        <v>1720</v>
      </c>
      <c r="F63" s="527" t="s">
        <v>1721</v>
      </c>
      <c r="G63" s="527" t="s">
        <v>1722</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1810</v>
      </c>
      <c r="C65" s="608" t="s">
        <v>1796</v>
      </c>
      <c r="D65" s="608" t="s">
        <v>1797</v>
      </c>
      <c r="E65" s="608" t="s">
        <v>1798</v>
      </c>
      <c r="F65" s="608" t="s">
        <v>1799</v>
      </c>
      <c r="G65" s="608" t="s">
        <v>1800</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1730</v>
      </c>
      <c r="C67" s="527" t="s">
        <v>1718</v>
      </c>
      <c r="D67" s="527" t="s">
        <v>1719</v>
      </c>
      <c r="E67" s="527" t="s">
        <v>1720</v>
      </c>
      <c r="F67" s="527" t="s">
        <v>1721</v>
      </c>
      <c r="G67" s="527" t="s">
        <v>1722</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1849</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1691</v>
      </c>
      <c r="B77" s="477" t="s">
        <v>1737</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1853</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1861</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1863</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1766</v>
      </c>
      <c r="B4" s="356"/>
      <c r="C4" s="3712" t="s">
        <v>1767</v>
      </c>
      <c r="D4" s="3713"/>
      <c r="E4" s="3714" t="s">
        <v>1768</v>
      </c>
      <c r="F4" s="3715"/>
      <c r="G4" s="3712" t="s">
        <v>1769</v>
      </c>
      <c r="H4" s="3713"/>
      <c r="I4" s="3712" t="s">
        <v>1770</v>
      </c>
      <c r="J4" s="3713"/>
      <c r="K4" s="559" t="s">
        <v>1771</v>
      </c>
      <c r="L4" s="2713"/>
      <c r="M4" s="2714"/>
      <c r="N4" s="2714"/>
      <c r="O4" s="2714"/>
      <c r="P4" s="3768" t="s">
        <v>1772</v>
      </c>
      <c r="Q4" s="3769"/>
      <c r="R4" s="3764" t="s">
        <v>1768</v>
      </c>
      <c r="S4" s="3765"/>
      <c r="T4" s="3764" t="s">
        <v>1769</v>
      </c>
      <c r="U4" s="3765"/>
      <c r="V4" s="3725" t="s">
        <v>1770</v>
      </c>
      <c r="W4" s="3725"/>
      <c r="X4" s="1354"/>
      <c r="Y4" s="3764" t="s">
        <v>1772</v>
      </c>
      <c r="Z4" s="3765"/>
      <c r="AA4" s="3763" t="s">
        <v>1768</v>
      </c>
      <c r="AB4" s="3692" t="s">
        <v>1769</v>
      </c>
      <c r="AC4" s="3763" t="s">
        <v>1770</v>
      </c>
    </row>
    <row r="5" spans="1:30" ht="15">
      <c r="A5" s="358"/>
      <c r="B5" s="359"/>
      <c r="C5" s="3767" t="s">
        <v>1670</v>
      </c>
      <c r="D5" s="3703"/>
      <c r="E5" s="3766" t="s">
        <v>1671</v>
      </c>
      <c r="F5" s="3701"/>
      <c r="G5" s="3767" t="s">
        <v>1672</v>
      </c>
      <c r="H5" s="3703"/>
      <c r="I5" s="3767" t="s">
        <v>1673</v>
      </c>
      <c r="J5" s="3703"/>
      <c r="K5" s="559"/>
      <c r="L5" s="2713"/>
      <c r="M5" s="2714"/>
      <c r="N5" s="2714"/>
      <c r="O5" s="2714"/>
      <c r="P5" s="3770"/>
      <c r="Q5" s="3719"/>
      <c r="R5" s="3698"/>
      <c r="S5" s="3699"/>
      <c r="T5" s="3698"/>
      <c r="U5" s="3699"/>
      <c r="V5" s="3725"/>
      <c r="W5" s="3725"/>
      <c r="X5" s="1354"/>
      <c r="Y5" s="3698"/>
      <c r="Z5" s="3699"/>
      <c r="AA5" s="3692"/>
      <c r="AB5" s="3692"/>
      <c r="AC5" s="3692"/>
    </row>
    <row r="6" spans="1:30" ht="15.75" thickBot="1">
      <c r="A6" s="360"/>
      <c r="B6" s="361"/>
      <c r="C6" s="3704" t="s">
        <v>1674</v>
      </c>
      <c r="D6" s="3705"/>
      <c r="E6" s="3706" t="s">
        <v>1674</v>
      </c>
      <c r="F6" s="3707"/>
      <c r="G6" s="3704" t="s">
        <v>1674</v>
      </c>
      <c r="H6" s="3705"/>
      <c r="I6" s="3704" t="s">
        <v>1674</v>
      </c>
      <c r="J6" s="3705"/>
      <c r="K6" s="559" t="s">
        <v>1675</v>
      </c>
      <c r="L6" s="2713"/>
      <c r="M6" s="2714"/>
      <c r="N6" s="2714"/>
      <c r="O6" s="2714"/>
      <c r="P6" s="3771"/>
      <c r="Q6" s="3721"/>
      <c r="R6" s="3698"/>
      <c r="S6" s="3699"/>
      <c r="T6" s="3722"/>
      <c r="U6" s="3723"/>
      <c r="V6" s="3725"/>
      <c r="W6" s="3725"/>
      <c r="X6" s="1354"/>
      <c r="Y6" s="3722"/>
      <c r="Z6" s="3723"/>
      <c r="AA6" s="3693"/>
      <c r="AB6" s="3693"/>
      <c r="AC6" s="3693"/>
    </row>
    <row r="7" spans="1:30" s="108" customFormat="1" ht="15.75" thickBot="1">
      <c r="A7" s="362" t="s">
        <v>1676</v>
      </c>
      <c r="B7" s="363"/>
      <c r="C7" s="364">
        <f>'数据-取费表'!B2</f>
        <v>45940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94" t="s">
        <v>1677</v>
      </c>
      <c r="Q7" s="3727"/>
      <c r="R7" s="700" t="s">
        <v>14</v>
      </c>
      <c r="S7" s="701">
        <f t="shared" ref="S7:S15" si="0">F7</f>
        <v>0</v>
      </c>
      <c r="T7" s="700" t="s">
        <v>14</v>
      </c>
      <c r="U7" s="701">
        <f t="shared" ref="U7:U15" si="1">H7</f>
        <v>0</v>
      </c>
      <c r="V7" s="700" t="s">
        <v>14</v>
      </c>
      <c r="W7" s="701">
        <f t="shared" ref="W7:W15" si="2">J7</f>
        <v>0</v>
      </c>
      <c r="X7" s="702"/>
      <c r="Y7" s="3694" t="s">
        <v>1677</v>
      </c>
      <c r="Z7" s="3695"/>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4" t="s">
        <v>1680</v>
      </c>
      <c r="Q8" s="3695"/>
      <c r="R8" s="700" t="s">
        <v>14</v>
      </c>
      <c r="S8" s="701">
        <f t="shared" si="0"/>
        <v>0</v>
      </c>
      <c r="T8" s="700" t="s">
        <v>14</v>
      </c>
      <c r="U8" s="701">
        <f t="shared" si="1"/>
        <v>0</v>
      </c>
      <c r="V8" s="700" t="s">
        <v>14</v>
      </c>
      <c r="W8" s="701">
        <f t="shared" si="2"/>
        <v>0</v>
      </c>
      <c r="X8" s="702"/>
      <c r="Y8" s="3694" t="s">
        <v>1680</v>
      </c>
      <c r="Z8" s="3695"/>
      <c r="AA8" s="703" t="e">
        <f t="shared" ref="AA8:AA45" si="3">D8/F8</f>
        <v>#DIV/0!</v>
      </c>
      <c r="AB8" s="703" t="e">
        <f t="shared" ref="AB8:AB45" si="4">D8/H8</f>
        <v>#DIV/0!</v>
      </c>
      <c r="AC8" s="703" t="e">
        <f t="shared" ref="AC8:AC45" si="5">D8/J8</f>
        <v>#DIV/0!</v>
      </c>
    </row>
    <row r="9" spans="1:30" s="108" customFormat="1">
      <c r="A9" s="369" t="s">
        <v>1681</v>
      </c>
      <c r="B9" s="63" t="s">
        <v>1682</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37" t="s">
        <v>1683</v>
      </c>
      <c r="Q9" s="1342" t="str">
        <f t="shared" ref="Q9:Q15" si="6">B9</f>
        <v>用途</v>
      </c>
      <c r="R9" s="700" t="s">
        <v>14</v>
      </c>
      <c r="S9" s="701">
        <f t="shared" si="0"/>
        <v>100</v>
      </c>
      <c r="T9" s="700" t="s">
        <v>14</v>
      </c>
      <c r="U9" s="701">
        <f t="shared" si="1"/>
        <v>100</v>
      </c>
      <c r="V9" s="700" t="s">
        <v>14</v>
      </c>
      <c r="W9" s="701">
        <f t="shared" si="2"/>
        <v>100</v>
      </c>
      <c r="X9" s="702"/>
      <c r="Y9" s="3659"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152</v>
      </c>
      <c r="G10" s="414"/>
      <c r="H10" s="127">
        <f>ROUND(100/'数据-取费表'!G16,0)</f>
        <v>152</v>
      </c>
      <c r="I10" s="414"/>
      <c r="J10" s="127">
        <f>ROUND(100/'数据-取费表'!G16,0)</f>
        <v>152</v>
      </c>
      <c r="K10" s="620"/>
      <c r="L10" s="2717"/>
      <c r="M10" s="2718"/>
      <c r="N10" s="2718"/>
      <c r="O10" s="2771"/>
      <c r="P10" s="3737"/>
      <c r="Q10" s="1342" t="str">
        <f t="shared" si="6"/>
        <v>土地使用年限（年）</v>
      </c>
      <c r="R10" s="700" t="s">
        <v>14</v>
      </c>
      <c r="S10" s="701">
        <f t="shared" si="0"/>
        <v>152</v>
      </c>
      <c r="T10" s="700" t="s">
        <v>14</v>
      </c>
      <c r="U10" s="701">
        <f t="shared" si="1"/>
        <v>152</v>
      </c>
      <c r="V10" s="700" t="s">
        <v>14</v>
      </c>
      <c r="W10" s="701">
        <f t="shared" si="2"/>
        <v>152</v>
      </c>
      <c r="X10" s="702"/>
      <c r="Y10" s="3659"/>
      <c r="Z10" s="52" t="str">
        <f t="shared" si="7"/>
        <v>土地使用年限（年）</v>
      </c>
      <c r="AA10" s="703">
        <f t="shared" si="3"/>
        <v>0.65789473684210531</v>
      </c>
      <c r="AB10" s="703">
        <f t="shared" si="4"/>
        <v>0.65789473684210531</v>
      </c>
      <c r="AC10" s="703">
        <f t="shared" si="5"/>
        <v>0.65789473684210531</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37"/>
      <c r="Q11" s="1342" t="str">
        <f t="shared" si="6"/>
        <v>容积率</v>
      </c>
      <c r="R11" s="700" t="s">
        <v>14</v>
      </c>
      <c r="S11" s="701" t="e">
        <f t="shared" si="0"/>
        <v>#N/A</v>
      </c>
      <c r="T11" s="700" t="s">
        <v>14</v>
      </c>
      <c r="U11" s="701" t="e">
        <f t="shared" si="1"/>
        <v>#N/A</v>
      </c>
      <c r="V11" s="700" t="s">
        <v>14</v>
      </c>
      <c r="W11" s="701" t="e">
        <f t="shared" si="2"/>
        <v>#N/A</v>
      </c>
      <c r="X11" s="702"/>
      <c r="Y11" s="3659"/>
      <c r="Z11" s="52" t="str">
        <f t="shared" si="7"/>
        <v>容积率</v>
      </c>
      <c r="AA11" s="703" t="e">
        <f t="shared" si="3"/>
        <v>#N/A</v>
      </c>
      <c r="AB11" s="703" t="e">
        <f t="shared" si="4"/>
        <v>#N/A</v>
      </c>
      <c r="AC11" s="703" t="e">
        <f t="shared" si="5"/>
        <v>#N/A</v>
      </c>
    </row>
    <row r="12" spans="1:30" s="108" customFormat="1" ht="15">
      <c r="A12" s="382"/>
      <c r="B12" s="1892" t="s">
        <v>1867</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37"/>
      <c r="Q12" s="1342" t="str">
        <f t="shared" si="6"/>
        <v>配建</v>
      </c>
      <c r="R12" s="700" t="s">
        <v>14</v>
      </c>
      <c r="S12" s="701">
        <f t="shared" si="0"/>
        <v>100</v>
      </c>
      <c r="T12" s="700" t="s">
        <v>14</v>
      </c>
      <c r="U12" s="701">
        <f t="shared" si="1"/>
        <v>100</v>
      </c>
      <c r="V12" s="700" t="s">
        <v>14</v>
      </c>
      <c r="W12" s="701">
        <f t="shared" si="2"/>
        <v>100</v>
      </c>
      <c r="X12" s="702"/>
      <c r="Y12" s="365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7"/>
      <c r="Q13" s="1342">
        <f t="shared" si="6"/>
        <v>111</v>
      </c>
      <c r="R13" s="700" t="s">
        <v>14</v>
      </c>
      <c r="S13" s="701">
        <f t="shared" si="0"/>
        <v>100</v>
      </c>
      <c r="T13" s="700" t="s">
        <v>14</v>
      </c>
      <c r="U13" s="701">
        <f t="shared" si="1"/>
        <v>100</v>
      </c>
      <c r="V13" s="700" t="s">
        <v>14</v>
      </c>
      <c r="W13" s="701">
        <f t="shared" si="2"/>
        <v>100</v>
      </c>
      <c r="X13" s="702"/>
      <c r="Y13" s="365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7"/>
      <c r="Q14" s="1342">
        <f t="shared" si="6"/>
        <v>111</v>
      </c>
      <c r="R14" s="700" t="s">
        <v>14</v>
      </c>
      <c r="S14" s="701">
        <f t="shared" si="0"/>
        <v>100</v>
      </c>
      <c r="T14" s="700" t="s">
        <v>14</v>
      </c>
      <c r="U14" s="701">
        <f t="shared" si="1"/>
        <v>100</v>
      </c>
      <c r="V14" s="700" t="s">
        <v>14</v>
      </c>
      <c r="W14" s="701">
        <f t="shared" si="2"/>
        <v>100</v>
      </c>
      <c r="X14" s="702"/>
      <c r="Y14" s="3659"/>
      <c r="Z14" s="52">
        <f t="shared" si="7"/>
        <v>111</v>
      </c>
      <c r="AA14" s="703">
        <f>D14/F14</f>
        <v>1</v>
      </c>
      <c r="AB14" s="703">
        <f>D14/H14</f>
        <v>1</v>
      </c>
      <c r="AC14" s="703">
        <f>D14/J14</f>
        <v>1</v>
      </c>
    </row>
    <row r="15" spans="1:30" ht="99.75">
      <c r="A15" s="391" t="s">
        <v>1687</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0" t="s">
        <v>1688</v>
      </c>
      <c r="Q15" s="1351" t="str">
        <f t="shared" si="6"/>
        <v>居住社区成熟度</v>
      </c>
      <c r="R15" s="704" t="s">
        <v>14</v>
      </c>
      <c r="S15" s="705">
        <f t="shared" si="0"/>
        <v>100</v>
      </c>
      <c r="T15" s="704" t="s">
        <v>14</v>
      </c>
      <c r="U15" s="705">
        <f t="shared" si="1"/>
        <v>100</v>
      </c>
      <c r="V15" s="704" t="s">
        <v>14</v>
      </c>
      <c r="W15" s="705">
        <f t="shared" si="2"/>
        <v>100</v>
      </c>
      <c r="X15" s="1354"/>
      <c r="Y15" s="3730"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31"/>
      <c r="Q16" s="1351"/>
      <c r="R16" s="704"/>
      <c r="S16" s="705"/>
      <c r="T16" s="704"/>
      <c r="U16" s="705"/>
      <c r="V16" s="704"/>
      <c r="W16" s="705"/>
      <c r="X16" s="1354"/>
      <c r="Y16" s="3731"/>
      <c r="Z16" s="1355"/>
      <c r="AA16" s="1352">
        <v>1</v>
      </c>
      <c r="AB16" s="1352">
        <v>1</v>
      </c>
      <c r="AC16" s="1352">
        <v>1</v>
      </c>
    </row>
    <row r="17" spans="1:29" ht="71.25">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1"/>
      <c r="Q17" s="1351" t="str">
        <f>B17</f>
        <v>商业繁华度</v>
      </c>
      <c r="R17" s="704" t="s">
        <v>14</v>
      </c>
      <c r="S17" s="705">
        <f>F17</f>
        <v>100</v>
      </c>
      <c r="T17" s="704" t="s">
        <v>14</v>
      </c>
      <c r="U17" s="705">
        <f>H17</f>
        <v>100</v>
      </c>
      <c r="V17" s="704" t="s">
        <v>14</v>
      </c>
      <c r="W17" s="705">
        <f>J17</f>
        <v>100</v>
      </c>
      <c r="X17" s="1354"/>
      <c r="Y17" s="373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31"/>
      <c r="Q18" s="1351"/>
      <c r="R18" s="704"/>
      <c r="S18" s="705"/>
      <c r="T18" s="704"/>
      <c r="U18" s="705"/>
      <c r="V18" s="704"/>
      <c r="W18" s="705"/>
      <c r="X18" s="1354"/>
      <c r="Y18" s="3731"/>
      <c r="Z18" s="1355"/>
      <c r="AA18" s="1352">
        <v>1</v>
      </c>
      <c r="AB18" s="1352">
        <v>1</v>
      </c>
      <c r="AC18" s="1352">
        <v>1</v>
      </c>
    </row>
    <row r="19" spans="1:29" ht="71.25">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1"/>
      <c r="Q19" s="1351" t="str">
        <f>B19</f>
        <v>办公集聚程度</v>
      </c>
      <c r="R19" s="704" t="s">
        <v>14</v>
      </c>
      <c r="S19" s="705">
        <f>F19</f>
        <v>100</v>
      </c>
      <c r="T19" s="704" t="s">
        <v>14</v>
      </c>
      <c r="U19" s="705">
        <f>H19</f>
        <v>100</v>
      </c>
      <c r="V19" s="704" t="s">
        <v>14</v>
      </c>
      <c r="W19" s="705">
        <f>J19</f>
        <v>100</v>
      </c>
      <c r="X19" s="1354"/>
      <c r="Y19" s="373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31"/>
      <c r="Q20" s="1351"/>
      <c r="R20" s="704"/>
      <c r="S20" s="705"/>
      <c r="T20" s="704"/>
      <c r="U20" s="705"/>
      <c r="V20" s="704"/>
      <c r="W20" s="705"/>
      <c r="X20" s="1354"/>
      <c r="Y20" s="3731"/>
      <c r="Z20" s="1355"/>
      <c r="AA20" s="1352">
        <v>1</v>
      </c>
      <c r="AB20" s="1352">
        <v>1</v>
      </c>
      <c r="AC20" s="1352">
        <v>1</v>
      </c>
    </row>
    <row r="21" spans="1:29" ht="85.5">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1"/>
      <c r="Q21" s="1351" t="str">
        <f>B21</f>
        <v>交通便捷度</v>
      </c>
      <c r="R21" s="704" t="s">
        <v>14</v>
      </c>
      <c r="S21" s="705">
        <f>F21</f>
        <v>100</v>
      </c>
      <c r="T21" s="704" t="s">
        <v>14</v>
      </c>
      <c r="U21" s="705">
        <f>H21</f>
        <v>100</v>
      </c>
      <c r="V21" s="704" t="s">
        <v>14</v>
      </c>
      <c r="W21" s="705">
        <f>J21</f>
        <v>100</v>
      </c>
      <c r="X21" s="1354"/>
      <c r="Y21" s="373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31"/>
      <c r="Q22" s="1351"/>
      <c r="R22" s="704"/>
      <c r="S22" s="705"/>
      <c r="T22" s="704"/>
      <c r="U22" s="705"/>
      <c r="V22" s="704"/>
      <c r="W22" s="705"/>
      <c r="X22" s="1354"/>
      <c r="Y22" s="3731"/>
      <c r="Z22" s="1355"/>
      <c r="AA22" s="1352">
        <v>1</v>
      </c>
      <c r="AB22" s="1352">
        <v>1</v>
      </c>
      <c r="AC22" s="1352">
        <v>1</v>
      </c>
    </row>
    <row r="23" spans="1:29" ht="15">
      <c r="A23" s="358"/>
      <c r="B23" s="402" t="s">
        <v>1868</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1"/>
      <c r="Q23" s="1351" t="str">
        <f t="shared" ref="Q23:Q37" si="8">B23</f>
        <v>区域土地利用方向</v>
      </c>
      <c r="R23" s="704" t="s">
        <v>14</v>
      </c>
      <c r="S23" s="705">
        <f>F23</f>
        <v>100</v>
      </c>
      <c r="T23" s="704" t="s">
        <v>14</v>
      </c>
      <c r="U23" s="705">
        <f>H23</f>
        <v>100</v>
      </c>
      <c r="V23" s="704" t="s">
        <v>14</v>
      </c>
      <c r="W23" s="705">
        <f>J23</f>
        <v>100</v>
      </c>
      <c r="X23" s="1354"/>
      <c r="Y23" s="373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31"/>
      <c r="Q24" s="1351"/>
      <c r="R24" s="704"/>
      <c r="S24" s="705"/>
      <c r="T24" s="704"/>
      <c r="U24" s="705"/>
      <c r="V24" s="704"/>
      <c r="W24" s="705"/>
      <c r="X24" s="1354"/>
      <c r="Y24" s="3731"/>
      <c r="Z24" s="1355"/>
      <c r="AA24" s="1352"/>
      <c r="AB24" s="1352"/>
      <c r="AC24" s="1352"/>
    </row>
    <row r="25" spans="1:29" ht="57">
      <c r="A25" s="358"/>
      <c r="B25" s="1130"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1"/>
      <c r="Q25" s="1351" t="str">
        <f t="shared" si="8"/>
        <v>自然及人文环境状况</v>
      </c>
      <c r="R25" s="704" t="s">
        <v>14</v>
      </c>
      <c r="S25" s="705">
        <f>F25</f>
        <v>100</v>
      </c>
      <c r="T25" s="704" t="s">
        <v>14</v>
      </c>
      <c r="U25" s="705">
        <f>H25</f>
        <v>100</v>
      </c>
      <c r="V25" s="704" t="s">
        <v>14</v>
      </c>
      <c r="W25" s="705">
        <f>J25</f>
        <v>100</v>
      </c>
      <c r="X25" s="1354"/>
      <c r="Y25" s="373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31"/>
      <c r="Q26" s="1351"/>
      <c r="R26" s="704"/>
      <c r="S26" s="705"/>
      <c r="T26" s="704"/>
      <c r="U26" s="705"/>
      <c r="V26" s="704"/>
      <c r="W26" s="705"/>
      <c r="X26" s="1354"/>
      <c r="Y26" s="3731"/>
      <c r="Z26" s="1355"/>
      <c r="AA26" s="1352">
        <v>1</v>
      </c>
      <c r="AB26" s="1352">
        <v>1</v>
      </c>
      <c r="AC26" s="1352">
        <v>1</v>
      </c>
    </row>
    <row r="27" spans="1:29" s="108" customFormat="1" ht="42.75">
      <c r="A27" s="597"/>
      <c r="B27" s="1130"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1"/>
      <c r="Q27" s="1342" t="str">
        <f t="shared" si="8"/>
        <v>公共配套设施</v>
      </c>
      <c r="R27" s="700" t="s">
        <v>14</v>
      </c>
      <c r="S27" s="701">
        <f>F27</f>
        <v>100</v>
      </c>
      <c r="T27" s="700" t="s">
        <v>14</v>
      </c>
      <c r="U27" s="701">
        <f>H27</f>
        <v>100</v>
      </c>
      <c r="V27" s="700" t="s">
        <v>14</v>
      </c>
      <c r="W27" s="701">
        <f>J27</f>
        <v>100</v>
      </c>
      <c r="X27" s="702"/>
      <c r="Y27" s="373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31"/>
      <c r="Q28" s="1342"/>
      <c r="R28" s="700"/>
      <c r="S28" s="701"/>
      <c r="T28" s="700"/>
      <c r="U28" s="701"/>
      <c r="V28" s="700"/>
      <c r="W28" s="701"/>
      <c r="X28" s="702"/>
      <c r="Y28" s="3731"/>
      <c r="Z28" s="52"/>
      <c r="AA28" s="1352">
        <v>1</v>
      </c>
      <c r="AB28" s="1352">
        <v>1</v>
      </c>
      <c r="AC28" s="1352">
        <v>1</v>
      </c>
    </row>
    <row r="29" spans="1:29" s="108" customFormat="1" ht="28.5">
      <c r="A29" s="597"/>
      <c r="B29" s="1130"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1"/>
      <c r="Q29" s="1342" t="str">
        <f t="shared" ref="Q29" si="9">B29</f>
        <v>基础设施水平</v>
      </c>
      <c r="R29" s="700" t="s">
        <v>14</v>
      </c>
      <c r="S29" s="701">
        <f>F29</f>
        <v>100</v>
      </c>
      <c r="T29" s="700" t="s">
        <v>14</v>
      </c>
      <c r="U29" s="701">
        <f>H29</f>
        <v>100</v>
      </c>
      <c r="V29" s="700" t="s">
        <v>14</v>
      </c>
      <c r="W29" s="701">
        <f>J29</f>
        <v>100</v>
      </c>
      <c r="X29" s="702"/>
      <c r="Y29" s="373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31"/>
      <c r="Q30" s="1342"/>
      <c r="R30" s="700"/>
      <c r="S30" s="701"/>
      <c r="T30" s="700"/>
      <c r="U30" s="701"/>
      <c r="V30" s="700"/>
      <c r="W30" s="701"/>
      <c r="X30" s="702"/>
      <c r="Y30" s="3731"/>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1"/>
      <c r="Z31" s="1355" t="str">
        <f t="shared" ref="Z31:Z45" si="13">Q31</f>
        <v>临街状况</v>
      </c>
      <c r="AA31" s="1352">
        <f t="shared" si="3"/>
        <v>1</v>
      </c>
      <c r="AB31" s="1352">
        <f t="shared" si="4"/>
        <v>1</v>
      </c>
      <c r="AC31" s="1352">
        <f t="shared" si="5"/>
        <v>1</v>
      </c>
    </row>
    <row r="32" spans="1:29" ht="27">
      <c r="A32" s="379"/>
      <c r="B32" s="1130"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1"/>
      <c r="Q32" s="1351" t="str">
        <f t="shared" si="8"/>
        <v>毗邻道路的类型与等级</v>
      </c>
      <c r="R32" s="704" t="s">
        <v>14</v>
      </c>
      <c r="S32" s="705">
        <f t="shared" si="10"/>
        <v>100</v>
      </c>
      <c r="T32" s="704" t="s">
        <v>14</v>
      </c>
      <c r="U32" s="705">
        <f t="shared" si="11"/>
        <v>100</v>
      </c>
      <c r="V32" s="704" t="s">
        <v>14</v>
      </c>
      <c r="W32" s="705">
        <f t="shared" si="12"/>
        <v>100</v>
      </c>
      <c r="X32" s="1354"/>
      <c r="Y32" s="373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31"/>
      <c r="Q33" s="1351"/>
      <c r="R33" s="704"/>
      <c r="S33" s="705"/>
      <c r="T33" s="704"/>
      <c r="U33" s="705"/>
      <c r="V33" s="704"/>
      <c r="W33" s="705"/>
      <c r="X33" s="1354"/>
      <c r="Y33" s="3731"/>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1"/>
      <c r="Q34" s="1351" t="str">
        <f t="shared" si="8"/>
        <v>土地级别</v>
      </c>
      <c r="R34" s="704" t="s">
        <v>14</v>
      </c>
      <c r="S34" s="705">
        <f t="shared" si="10"/>
        <v>100</v>
      </c>
      <c r="T34" s="704" t="s">
        <v>14</v>
      </c>
      <c r="U34" s="705">
        <f t="shared" si="11"/>
        <v>100</v>
      </c>
      <c r="V34" s="704" t="s">
        <v>14</v>
      </c>
      <c r="W34" s="705">
        <f t="shared" si="12"/>
        <v>100</v>
      </c>
      <c r="X34" s="1354"/>
      <c r="Y34" s="3731"/>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1"/>
      <c r="Q35" s="1351">
        <f t="shared" si="8"/>
        <v>111</v>
      </c>
      <c r="R35" s="704" t="s">
        <v>14</v>
      </c>
      <c r="S35" s="705">
        <f t="shared" si="10"/>
        <v>100</v>
      </c>
      <c r="T35" s="704" t="s">
        <v>14</v>
      </c>
      <c r="U35" s="705">
        <f t="shared" si="11"/>
        <v>100</v>
      </c>
      <c r="V35" s="704" t="s">
        <v>14</v>
      </c>
      <c r="W35" s="705">
        <f t="shared" si="12"/>
        <v>100</v>
      </c>
      <c r="X35" s="1354"/>
      <c r="Y35" s="3731"/>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5" t="s">
        <v>1693</v>
      </c>
      <c r="Q36" s="1351">
        <f t="shared" si="8"/>
        <v>111</v>
      </c>
      <c r="R36" s="704" t="s">
        <v>14</v>
      </c>
      <c r="S36" s="705">
        <f t="shared" si="10"/>
        <v>100</v>
      </c>
      <c r="T36" s="704" t="s">
        <v>14</v>
      </c>
      <c r="U36" s="705">
        <f t="shared" si="11"/>
        <v>100</v>
      </c>
      <c r="V36" s="704" t="s">
        <v>14</v>
      </c>
      <c r="W36" s="705">
        <f t="shared" si="12"/>
        <v>100</v>
      </c>
      <c r="X36" s="1354"/>
      <c r="Y36" s="3735" t="s">
        <v>1693</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5"/>
      <c r="Q37" s="1351">
        <f t="shared" si="8"/>
        <v>111</v>
      </c>
      <c r="R37" s="707" t="s">
        <v>14</v>
      </c>
      <c r="S37" s="708">
        <f t="shared" si="10"/>
        <v>100</v>
      </c>
      <c r="T37" s="707" t="s">
        <v>14</v>
      </c>
      <c r="U37" s="708">
        <f t="shared" si="11"/>
        <v>100</v>
      </c>
      <c r="V37" s="707" t="s">
        <v>14</v>
      </c>
      <c r="W37" s="708">
        <f t="shared" si="12"/>
        <v>100</v>
      </c>
      <c r="X37" s="709"/>
      <c r="Y37" s="3735"/>
      <c r="Z37" s="710">
        <f t="shared" si="13"/>
        <v>111</v>
      </c>
      <c r="AA37" s="1352">
        <f t="shared" si="3"/>
        <v>1</v>
      </c>
      <c r="AB37" s="1352">
        <f t="shared" si="4"/>
        <v>1</v>
      </c>
      <c r="AC37" s="1352">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5"/>
      <c r="Q38" s="1351" t="str">
        <f>B38</f>
        <v>宗地面积</v>
      </c>
      <c r="R38" s="704" t="s">
        <v>14</v>
      </c>
      <c r="S38" s="705" t="e">
        <f t="shared" si="10"/>
        <v>#N/A</v>
      </c>
      <c r="T38" s="704" t="s">
        <v>14</v>
      </c>
      <c r="U38" s="705" t="e">
        <f t="shared" si="11"/>
        <v>#N/A</v>
      </c>
      <c r="V38" s="704" t="s">
        <v>14</v>
      </c>
      <c r="W38" s="705" t="e">
        <f t="shared" si="12"/>
        <v>#N/A</v>
      </c>
      <c r="X38" s="1354"/>
      <c r="Y38" s="3735"/>
      <c r="Z38" s="1355" t="str">
        <f t="shared" si="13"/>
        <v>宗地面积</v>
      </c>
      <c r="AA38" s="1352" t="e">
        <f t="shared" si="3"/>
        <v>#N/A</v>
      </c>
      <c r="AB38" s="1352" t="e">
        <f t="shared" si="4"/>
        <v>#N/A</v>
      </c>
      <c r="AC38" s="1352" t="e">
        <f t="shared" si="5"/>
        <v>#N/A</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35"/>
      <c r="Q39" s="1351" t="str">
        <f t="shared" ref="Q39:Q45" si="14">B39</f>
        <v>宗地形状</v>
      </c>
      <c r="R39" s="704" t="s">
        <v>14</v>
      </c>
      <c r="S39" s="705">
        <f t="shared" si="10"/>
        <v>100</v>
      </c>
      <c r="T39" s="704" t="s">
        <v>14</v>
      </c>
      <c r="U39" s="705">
        <f t="shared" si="11"/>
        <v>100</v>
      </c>
      <c r="V39" s="704" t="s">
        <v>14</v>
      </c>
      <c r="W39" s="705">
        <f t="shared" si="12"/>
        <v>100</v>
      </c>
      <c r="X39" s="1354"/>
      <c r="Y39" s="3735"/>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35"/>
      <c r="Q40" s="1351" t="str">
        <f t="shared" si="14"/>
        <v>临街宽度及深度</v>
      </c>
      <c r="R40" s="704" t="s">
        <v>14</v>
      </c>
      <c r="S40" s="705">
        <f t="shared" si="10"/>
        <v>100</v>
      </c>
      <c r="T40" s="704" t="s">
        <v>14</v>
      </c>
      <c r="U40" s="705">
        <f t="shared" si="11"/>
        <v>100</v>
      </c>
      <c r="V40" s="704" t="s">
        <v>14</v>
      </c>
      <c r="W40" s="705">
        <f t="shared" si="12"/>
        <v>100</v>
      </c>
      <c r="X40" s="1354"/>
      <c r="Y40" s="3735"/>
      <c r="Z40" s="1355" t="str">
        <f t="shared" si="13"/>
        <v>临街宽度及深度</v>
      </c>
      <c r="AA40" s="1352">
        <f t="shared" si="3"/>
        <v>1</v>
      </c>
      <c r="AB40" s="1352">
        <f t="shared" si="4"/>
        <v>1</v>
      </c>
      <c r="AC40" s="1352">
        <f t="shared" si="5"/>
        <v>1</v>
      </c>
    </row>
    <row r="41" spans="1:29" s="108" customFormat="1" ht="15">
      <c r="A41" s="424"/>
      <c r="B41" s="375" t="s">
        <v>1874</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35"/>
      <c r="Q41" s="1351" t="str">
        <f t="shared" si="14"/>
        <v>宗地开发程度</v>
      </c>
      <c r="R41" s="700" t="s">
        <v>14</v>
      </c>
      <c r="S41" s="701">
        <f t="shared" si="10"/>
        <v>100</v>
      </c>
      <c r="T41" s="700" t="s">
        <v>14</v>
      </c>
      <c r="U41" s="701">
        <f t="shared" si="11"/>
        <v>100</v>
      </c>
      <c r="V41" s="700" t="s">
        <v>14</v>
      </c>
      <c r="W41" s="701">
        <f t="shared" si="12"/>
        <v>100</v>
      </c>
      <c r="X41" s="702"/>
      <c r="Y41" s="3735"/>
      <c r="Z41" s="52" t="str">
        <f t="shared" si="13"/>
        <v>宗地开发程度</v>
      </c>
      <c r="AA41" s="703">
        <f t="shared" si="3"/>
        <v>1</v>
      </c>
      <c r="AB41" s="703">
        <f t="shared" si="4"/>
        <v>1</v>
      </c>
      <c r="AC41" s="703">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35" t="s">
        <v>1693</v>
      </c>
      <c r="Q42" s="1351" t="str">
        <f t="shared" si="14"/>
        <v>工程地质条件</v>
      </c>
      <c r="R42" s="704" t="s">
        <v>14</v>
      </c>
      <c r="S42" s="705">
        <f t="shared" si="10"/>
        <v>100</v>
      </c>
      <c r="T42" s="704" t="s">
        <v>14</v>
      </c>
      <c r="U42" s="705">
        <f t="shared" si="11"/>
        <v>100</v>
      </c>
      <c r="V42" s="704" t="s">
        <v>14</v>
      </c>
      <c r="W42" s="705">
        <f t="shared" si="12"/>
        <v>100</v>
      </c>
      <c r="X42" s="1354"/>
      <c r="Y42" s="3735" t="s">
        <v>1693</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5"/>
      <c r="Q43" s="1351">
        <f t="shared" si="14"/>
        <v>111</v>
      </c>
      <c r="R43" s="704" t="s">
        <v>14</v>
      </c>
      <c r="S43" s="705">
        <f t="shared" si="10"/>
        <v>100</v>
      </c>
      <c r="T43" s="704" t="s">
        <v>14</v>
      </c>
      <c r="U43" s="705">
        <f t="shared" si="11"/>
        <v>100</v>
      </c>
      <c r="V43" s="704" t="s">
        <v>14</v>
      </c>
      <c r="W43" s="705">
        <f t="shared" si="12"/>
        <v>100</v>
      </c>
      <c r="X43" s="1354"/>
      <c r="Y43" s="3735"/>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5"/>
      <c r="Q44" s="1351">
        <f t="shared" si="14"/>
        <v>111</v>
      </c>
      <c r="R44" s="704" t="s">
        <v>14</v>
      </c>
      <c r="S44" s="705">
        <f t="shared" si="10"/>
        <v>100</v>
      </c>
      <c r="T44" s="704" t="s">
        <v>14</v>
      </c>
      <c r="U44" s="705">
        <f t="shared" si="11"/>
        <v>100</v>
      </c>
      <c r="V44" s="704" t="s">
        <v>14</v>
      </c>
      <c r="W44" s="705">
        <f t="shared" si="12"/>
        <v>100</v>
      </c>
      <c r="X44" s="1354"/>
      <c r="Y44" s="3735"/>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5"/>
      <c r="Q45" s="1351">
        <f t="shared" si="14"/>
        <v>111</v>
      </c>
      <c r="R45" s="707" t="s">
        <v>14</v>
      </c>
      <c r="S45" s="708">
        <f t="shared" si="10"/>
        <v>100</v>
      </c>
      <c r="T45" s="707" t="s">
        <v>14</v>
      </c>
      <c r="U45" s="708">
        <f t="shared" si="11"/>
        <v>100</v>
      </c>
      <c r="V45" s="707" t="s">
        <v>14</v>
      </c>
      <c r="W45" s="708">
        <f t="shared" si="12"/>
        <v>100</v>
      </c>
      <c r="X45" s="709"/>
      <c r="Y45" s="3735"/>
      <c r="Z45" s="710">
        <f t="shared" si="13"/>
        <v>111</v>
      </c>
      <c r="AA45" s="1352">
        <f t="shared" si="3"/>
        <v>1</v>
      </c>
      <c r="AB45" s="1352">
        <f t="shared" si="4"/>
        <v>1</v>
      </c>
      <c r="AC45" s="1352">
        <f t="shared" si="5"/>
        <v>1</v>
      </c>
    </row>
    <row r="46" spans="1:29" ht="15">
      <c r="A46" s="430" t="s">
        <v>1841</v>
      </c>
      <c r="B46" s="1981" t="s">
        <v>1876</v>
      </c>
      <c r="C46" s="630" t="s">
        <v>0</v>
      </c>
      <c r="D46" s="432"/>
      <c r="E46" s="433"/>
      <c r="F46" s="434"/>
      <c r="G46" s="435"/>
      <c r="H46" s="436"/>
      <c r="I46" s="433"/>
      <c r="J46" s="436"/>
      <c r="K46" s="713"/>
      <c r="L46" s="2722"/>
      <c r="M46" s="2723"/>
      <c r="N46" s="2714"/>
      <c r="O46" s="2723"/>
      <c r="P46" s="3737" t="str">
        <f>A46</f>
        <v>成交单价</v>
      </c>
      <c r="Q46" s="3737"/>
      <c r="R46" s="3725">
        <f>E46</f>
        <v>0</v>
      </c>
      <c r="S46" s="3725"/>
      <c r="T46" s="3725">
        <f>G46</f>
        <v>0</v>
      </c>
      <c r="U46" s="3725"/>
      <c r="V46" s="3725">
        <f>I46</f>
        <v>0</v>
      </c>
      <c r="W46" s="3725"/>
      <c r="X46" s="689"/>
      <c r="Y46" s="711"/>
      <c r="Z46" s="689"/>
      <c r="AA46" s="689"/>
      <c r="AB46" s="689"/>
      <c r="AC46" s="689"/>
    </row>
    <row r="47" spans="1:29" ht="15.75" thickBot="1">
      <c r="A47" s="437" t="s">
        <v>1790</v>
      </c>
      <c r="B47" s="631"/>
      <c r="C47" s="440" t="e">
        <f>R48</f>
        <v>#DIV/0!</v>
      </c>
      <c r="D47" s="2316" t="s">
        <v>2134</v>
      </c>
      <c r="E47" s="440" t="e">
        <f>R47</f>
        <v>#DIV/0!</v>
      </c>
      <c r="F47" s="2317"/>
      <c r="G47" s="439" t="e">
        <f>T47</f>
        <v>#DIV/0!</v>
      </c>
      <c r="H47" s="2317"/>
      <c r="I47" s="440" t="e">
        <f>V47</f>
        <v>#DIV/0!</v>
      </c>
      <c r="J47" s="2317"/>
      <c r="K47" s="2319">
        <f>F47+H47+J47</f>
        <v>0</v>
      </c>
      <c r="L47" s="2722"/>
      <c r="M47" s="2723"/>
      <c r="N47" s="2723"/>
      <c r="O47" s="2723"/>
      <c r="P47" s="3737" t="str">
        <f>A47</f>
        <v>比较价值（元/平方米）</v>
      </c>
      <c r="Q47" s="3737"/>
      <c r="R47" s="3777" t="e">
        <f>ROUND(PRODUCT(R46,AA7:AA45),0)</f>
        <v>#DIV/0!</v>
      </c>
      <c r="S47" s="3777"/>
      <c r="T47" s="3777" t="e">
        <f>ROUND(PRODUCT(T46,AB7:AB45),0)</f>
        <v>#DIV/0!</v>
      </c>
      <c r="U47" s="3777"/>
      <c r="V47" s="3777" t="e">
        <f>ROUND(PRODUCT(V46,AC7:AC45),0)</f>
        <v>#DIV/0!</v>
      </c>
      <c r="W47" s="3777"/>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2"/>
      <c r="M48" s="2723"/>
      <c r="N48" s="2723"/>
      <c r="O48" s="2723"/>
      <c r="P48" s="3772" t="str">
        <f>A48</f>
        <v>估价对象XX用房的比较价值（楼面单价，元/平方米）</v>
      </c>
      <c r="Q48" s="3773"/>
      <c r="R48" s="3778" t="e">
        <f>ROUND(IF(D47="简单平均",AVERAGE(R47:W47),R47*F47+T47*H47+V47*J47),0)</f>
        <v>#DIV/0!</v>
      </c>
      <c r="S48" s="3778"/>
      <c r="T48" s="3778"/>
      <c r="U48" s="3778"/>
      <c r="V48" s="3778"/>
      <c r="W48" s="3778"/>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1878</v>
      </c>
      <c r="B55" s="633" t="s">
        <v>1879</v>
      </c>
      <c r="C55" s="1982" t="s">
        <v>1880</v>
      </c>
      <c r="D55" s="1983" t="s">
        <v>1881</v>
      </c>
      <c r="E55" s="634" t="s">
        <v>1882</v>
      </c>
      <c r="F55" s="889" t="s">
        <v>1883</v>
      </c>
      <c r="G55" s="3712" t="s">
        <v>1884</v>
      </c>
      <c r="H55" s="3779"/>
      <c r="I55" s="135" t="s">
        <v>1885</v>
      </c>
      <c r="J55" s="1984">
        <f>项目基本情况!F35</f>
        <v>0</v>
      </c>
      <c r="K55" s="1985" t="s">
        <v>1886</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1887</v>
      </c>
      <c r="B56" s="637" t="e">
        <f>C48</f>
        <v>#DIV/0!</v>
      </c>
      <c r="C56" s="638">
        <v>1</v>
      </c>
      <c r="D56" s="943">
        <v>1</v>
      </c>
      <c r="E56" s="638">
        <f>'数据-汇总表'!E8+'数据-汇总表'!E9</f>
        <v>571.24</v>
      </c>
      <c r="F56" s="885" t="e">
        <f t="shared" ref="F56:F64" si="15">ROUND(B56*E56/10000,0)</f>
        <v>#DIV/0!</v>
      </c>
      <c r="G56" s="3708"/>
      <c r="H56" s="3737"/>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1888</v>
      </c>
      <c r="B57" s="218" t="e">
        <f>ROUND($C$48*C57*D57,0)</f>
        <v>#DIV/0!</v>
      </c>
      <c r="C57" s="171">
        <f t="shared" ref="C57:C64" si="16">IF($C$55="北京市系数",I57,J57)</f>
        <v>0</v>
      </c>
      <c r="D57" s="944">
        <v>0.25</v>
      </c>
      <c r="E57" s="642"/>
      <c r="F57" s="885" t="e">
        <f t="shared" si="15"/>
        <v>#DIV/0!</v>
      </c>
      <c r="G57" s="3004" t="s">
        <v>1889</v>
      </c>
      <c r="H57" s="886">
        <f>项目基本情况!B37</f>
        <v>0</v>
      </c>
      <c r="I57" s="890">
        <f>SUMIF(修正!A59:A70,H57,修正!B59:B70)</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1890</v>
      </c>
      <c r="B58" s="218" t="e">
        <f t="shared" ref="B58:B64" si="17">ROUND($C$48*C58*D58,0)</f>
        <v>#DIV/0!</v>
      </c>
      <c r="C58" s="171">
        <f t="shared" si="16"/>
        <v>0</v>
      </c>
      <c r="D58" s="944">
        <v>0.25</v>
      </c>
      <c r="E58" s="642"/>
      <c r="F58" s="885" t="e">
        <f t="shared" si="15"/>
        <v>#DIV/0!</v>
      </c>
      <c r="G58" s="3005"/>
      <c r="H58" s="886">
        <f>项目基本情况!B37</f>
        <v>0</v>
      </c>
      <c r="I58" s="890">
        <f>SUMIF(修正!A59:A70,H58,修正!C59:C70)</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1891</v>
      </c>
      <c r="B59" s="218" t="e">
        <f t="shared" si="17"/>
        <v>#DIV/0!</v>
      </c>
      <c r="C59" s="171">
        <f t="shared" si="16"/>
        <v>0</v>
      </c>
      <c r="D59" s="944">
        <v>0.25</v>
      </c>
      <c r="E59" s="642"/>
      <c r="F59" s="885" t="e">
        <f t="shared" si="15"/>
        <v>#DIV/0!</v>
      </c>
      <c r="G59" s="3005"/>
      <c r="H59" s="886">
        <f>项目基本情况!B37</f>
        <v>0</v>
      </c>
      <c r="I59" s="890">
        <f>SUMIF(修正!A59:A70,H59,修正!D59:D70)</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1892</v>
      </c>
      <c r="B60" s="218" t="e">
        <f t="shared" si="17"/>
        <v>#DIV/0!</v>
      </c>
      <c r="C60" s="171">
        <f t="shared" si="16"/>
        <v>0</v>
      </c>
      <c r="D60" s="944">
        <v>0.25</v>
      </c>
      <c r="E60" s="217">
        <f>'数据-汇总表'!E11</f>
        <v>0</v>
      </c>
      <c r="F60" s="885" t="e">
        <f t="shared" si="15"/>
        <v>#DIV/0!</v>
      </c>
      <c r="G60" s="1986" t="s">
        <v>1893</v>
      </c>
      <c r="H60" s="886">
        <f>项目基本情况!C37</f>
        <v>0</v>
      </c>
      <c r="I60" s="890">
        <f>SUMIF(修正!A59:A70,H60,修正!E59:E70)</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1894</v>
      </c>
      <c r="B61" s="218" t="e">
        <f t="shared" si="17"/>
        <v>#DIV/0!</v>
      </c>
      <c r="C61" s="171">
        <f t="shared" si="16"/>
        <v>0</v>
      </c>
      <c r="D61" s="944">
        <v>0.25</v>
      </c>
      <c r="E61" s="217">
        <f>'数据-汇总表'!E12</f>
        <v>0</v>
      </c>
      <c r="F61" s="885" t="e">
        <f t="shared" si="15"/>
        <v>#DIV/0!</v>
      </c>
      <c r="G61" s="891" t="s">
        <v>1895</v>
      </c>
      <c r="H61" s="886">
        <f>IF(G61="商业",项目基本情况!B37,IF(G61="办公",项目基本情况!C37,IF(G61="住宅",项目基本情况!D37,项目基本情况!E37)))</f>
        <v>0</v>
      </c>
      <c r="I61" s="890">
        <f>SUMIF(修正!A59:A70,H61,修正!F59:F70)</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1896</v>
      </c>
      <c r="B62" s="218" t="e">
        <f t="shared" si="17"/>
        <v>#DIV/0!</v>
      </c>
      <c r="C62" s="171">
        <f t="shared" si="16"/>
        <v>0</v>
      </c>
      <c r="D62" s="944">
        <v>0.25</v>
      </c>
      <c r="E62" s="217">
        <f>'数据-汇总表'!E13</f>
        <v>0</v>
      </c>
      <c r="F62" s="885" t="e">
        <f t="shared" si="15"/>
        <v>#DIV/0!</v>
      </c>
      <c r="G62" s="891" t="s">
        <v>1897</v>
      </c>
      <c r="H62" s="886">
        <f>IF(G62="商业",项目基本情况!B37,IF(G62="办公",项目基本情况!C37,IF(G62="住宅",项目基本情况!D37,项目基本情况!E37)))</f>
        <v>0</v>
      </c>
      <c r="I62" s="890">
        <f>SUMIF(修正!A59:A70,H62,修正!G59:G70)</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1898</v>
      </c>
      <c r="B63" s="218" t="e">
        <f t="shared" si="17"/>
        <v>#DIV/0!</v>
      </c>
      <c r="C63" s="171">
        <f t="shared" si="16"/>
        <v>0</v>
      </c>
      <c r="D63" s="944">
        <v>0.25</v>
      </c>
      <c r="E63" s="217">
        <f>'数据-汇总表'!E14</f>
        <v>0</v>
      </c>
      <c r="F63" s="885" t="e">
        <f t="shared" si="15"/>
        <v>#DIV/0!</v>
      </c>
      <c r="G63" s="1986" t="s">
        <v>1889</v>
      </c>
      <c r="H63" s="886">
        <f>项目基本情况!B37</f>
        <v>0</v>
      </c>
      <c r="I63" s="890">
        <f>SUMIF(修正!A59:A70,H63,修正!G59:G70)</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1899</v>
      </c>
      <c r="B64" s="218" t="e">
        <f t="shared" si="17"/>
        <v>#DIV/0!</v>
      </c>
      <c r="C64" s="171">
        <f t="shared" si="16"/>
        <v>0</v>
      </c>
      <c r="D64" s="944">
        <v>0.25</v>
      </c>
      <c r="E64" s="217">
        <f>'数据-汇总表'!E15</f>
        <v>0</v>
      </c>
      <c r="F64" s="885" t="e">
        <f t="shared" si="15"/>
        <v>#DIV/0!</v>
      </c>
      <c r="G64" s="1987" t="s">
        <v>1893</v>
      </c>
      <c r="H64" s="896">
        <f>项目基本情况!C37</f>
        <v>0</v>
      </c>
      <c r="I64" s="892">
        <f>SUMIF(修正!A59:A70,H64,修正!G59:G70)</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1900</v>
      </c>
      <c r="B65" s="644" t="s">
        <v>22</v>
      </c>
      <c r="C65" s="644" t="s">
        <v>23</v>
      </c>
      <c r="D65" s="644" t="s">
        <v>392</v>
      </c>
      <c r="E65" s="644">
        <f>IF(B46="楼面地价",SUM(E56:E64),'数据-汇总表'!D3)</f>
        <v>571.24</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2025-10-1</v>
      </c>
      <c r="D67" s="691">
        <f>EDATE(C67,-3)</f>
        <v>45839</v>
      </c>
      <c r="E67" s="691">
        <f>EDATE(D67,-3)</f>
        <v>45748</v>
      </c>
      <c r="F67" s="691">
        <f t="shared" ref="F67:O67" si="18">EDATE(E67,-3)</f>
        <v>45658</v>
      </c>
      <c r="G67" s="691">
        <f t="shared" si="18"/>
        <v>45566</v>
      </c>
      <c r="H67" s="691">
        <f t="shared" si="18"/>
        <v>45474</v>
      </c>
      <c r="I67" s="691">
        <f t="shared" si="18"/>
        <v>45383</v>
      </c>
      <c r="J67" s="691">
        <f t="shared" si="18"/>
        <v>45292</v>
      </c>
      <c r="K67" s="691">
        <f t="shared" si="18"/>
        <v>45200</v>
      </c>
      <c r="L67" s="691">
        <f t="shared" si="18"/>
        <v>45108</v>
      </c>
      <c r="M67" s="691">
        <f t="shared" si="18"/>
        <v>45017</v>
      </c>
      <c r="N67" s="691">
        <f t="shared" si="18"/>
        <v>44927</v>
      </c>
      <c r="O67" s="691">
        <f t="shared" si="18"/>
        <v>44835</v>
      </c>
      <c r="P67" s="2723"/>
      <c r="Q67" s="2723"/>
      <c r="R67" s="2723"/>
      <c r="S67" s="2723"/>
      <c r="T67" s="2723"/>
      <c r="U67" s="2723"/>
      <c r="V67" s="2723"/>
      <c r="W67" s="2723"/>
      <c r="X67" s="2723"/>
      <c r="Y67" s="2723"/>
      <c r="Z67" s="2723"/>
      <c r="AA67" s="2723"/>
      <c r="AB67" s="2723"/>
      <c r="AC67" s="2723"/>
    </row>
    <row r="68" spans="1:29" ht="21.75" thickBot="1">
      <c r="A68" s="693" t="s">
        <v>1795</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1901</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9"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1713</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1678</v>
      </c>
      <c r="B72" s="459"/>
      <c r="C72" s="471" t="s">
        <v>1773</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1716</v>
      </c>
      <c r="B74" s="477" t="s">
        <v>1682</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1685</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1687</v>
      </c>
      <c r="B87" s="477" t="s">
        <v>1717</v>
      </c>
      <c r="C87" s="522" t="s">
        <v>1718</v>
      </c>
      <c r="D87" s="522" t="s">
        <v>1719</v>
      </c>
      <c r="E87" s="522" t="s">
        <v>1720</v>
      </c>
      <c r="F87" s="522" t="s">
        <v>1721</v>
      </c>
      <c r="G87" s="522" t="s">
        <v>1722</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1903</v>
      </c>
      <c r="C89" s="527" t="s">
        <v>1718</v>
      </c>
      <c r="D89" s="527" t="s">
        <v>1719</v>
      </c>
      <c r="E89" s="527" t="s">
        <v>1720</v>
      </c>
      <c r="F89" s="527" t="s">
        <v>1721</v>
      </c>
      <c r="G89" s="527" t="s">
        <v>1722</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1818</v>
      </c>
      <c r="C91" s="527" t="s">
        <v>1718</v>
      </c>
      <c r="D91" s="527" t="s">
        <v>1719</v>
      </c>
      <c r="E91" s="527" t="s">
        <v>1720</v>
      </c>
      <c r="F91" s="527" t="s">
        <v>1721</v>
      </c>
      <c r="G91" s="527" t="s">
        <v>1722</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1723</v>
      </c>
      <c r="C93" s="527" t="s">
        <v>1718</v>
      </c>
      <c r="D93" s="527" t="s">
        <v>1719</v>
      </c>
      <c r="E93" s="527" t="s">
        <v>1720</v>
      </c>
      <c r="F93" s="527" t="s">
        <v>1721</v>
      </c>
      <c r="G93" s="527" t="s">
        <v>1722</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1812</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1870</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1911</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1912</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1913</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1914</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1766</v>
      </c>
      <c r="B4" s="356"/>
      <c r="C4" s="3712" t="s">
        <v>1767</v>
      </c>
      <c r="D4" s="3713"/>
      <c r="E4" s="3714" t="s">
        <v>1768</v>
      </c>
      <c r="F4" s="3715"/>
      <c r="G4" s="3712" t="s">
        <v>1769</v>
      </c>
      <c r="H4" s="3713"/>
      <c r="I4" s="3712" t="s">
        <v>1770</v>
      </c>
      <c r="J4" s="3713"/>
      <c r="K4" s="559" t="s">
        <v>1771</v>
      </c>
      <c r="L4" s="2713"/>
      <c r="M4" s="2714"/>
      <c r="N4" s="2714"/>
      <c r="O4" s="2714"/>
      <c r="P4" s="3768" t="s">
        <v>1772</v>
      </c>
      <c r="Q4" s="3769"/>
      <c r="R4" s="3764" t="s">
        <v>1768</v>
      </c>
      <c r="S4" s="3765"/>
      <c r="T4" s="3764" t="s">
        <v>1769</v>
      </c>
      <c r="U4" s="3765"/>
      <c r="V4" s="3725" t="s">
        <v>1770</v>
      </c>
      <c r="W4" s="3725"/>
      <c r="X4" s="1354"/>
      <c r="Y4" s="3764" t="s">
        <v>1772</v>
      </c>
      <c r="Z4" s="3765"/>
      <c r="AA4" s="3763" t="s">
        <v>1768</v>
      </c>
      <c r="AB4" s="3692" t="s">
        <v>1769</v>
      </c>
      <c r="AC4" s="3763" t="s">
        <v>1770</v>
      </c>
    </row>
    <row r="5" spans="1:29" ht="15">
      <c r="A5" s="358"/>
      <c r="B5" s="359"/>
      <c r="C5" s="3767" t="s">
        <v>1670</v>
      </c>
      <c r="D5" s="3703"/>
      <c r="E5" s="3766" t="s">
        <v>1671</v>
      </c>
      <c r="F5" s="3701"/>
      <c r="G5" s="3767" t="s">
        <v>1672</v>
      </c>
      <c r="H5" s="3703"/>
      <c r="I5" s="3767" t="s">
        <v>1673</v>
      </c>
      <c r="J5" s="3703"/>
      <c r="K5" s="559"/>
      <c r="L5" s="2713"/>
      <c r="M5" s="2714"/>
      <c r="N5" s="2714"/>
      <c r="O5" s="2714"/>
      <c r="P5" s="3770"/>
      <c r="Q5" s="3719"/>
      <c r="R5" s="3698"/>
      <c r="S5" s="3699"/>
      <c r="T5" s="3698"/>
      <c r="U5" s="3699"/>
      <c r="V5" s="3725"/>
      <c r="W5" s="3725"/>
      <c r="X5" s="1354"/>
      <c r="Y5" s="3698"/>
      <c r="Z5" s="3699"/>
      <c r="AA5" s="3692"/>
      <c r="AB5" s="3692"/>
      <c r="AC5" s="3692"/>
    </row>
    <row r="6" spans="1:29" ht="15.75" thickBot="1">
      <c r="A6" s="360"/>
      <c r="B6" s="361"/>
      <c r="C6" s="3780" t="s">
        <v>1916</v>
      </c>
      <c r="D6" s="3781"/>
      <c r="E6" s="3782" t="s">
        <v>1916</v>
      </c>
      <c r="F6" s="3783"/>
      <c r="G6" s="3780" t="s">
        <v>1916</v>
      </c>
      <c r="H6" s="3781"/>
      <c r="I6" s="3780" t="s">
        <v>1916</v>
      </c>
      <c r="J6" s="3781"/>
      <c r="K6" s="559" t="s">
        <v>1675</v>
      </c>
      <c r="L6" s="2713"/>
      <c r="M6" s="2714"/>
      <c r="N6" s="2714"/>
      <c r="O6" s="2714"/>
      <c r="P6" s="3771"/>
      <c r="Q6" s="3721"/>
      <c r="R6" s="3698"/>
      <c r="S6" s="3699"/>
      <c r="T6" s="3722"/>
      <c r="U6" s="3723"/>
      <c r="V6" s="3725"/>
      <c r="W6" s="3725"/>
      <c r="X6" s="1354"/>
      <c r="Y6" s="3722"/>
      <c r="Z6" s="3723"/>
      <c r="AA6" s="3693"/>
      <c r="AB6" s="3693"/>
      <c r="AC6" s="3693"/>
    </row>
    <row r="7" spans="1:29" s="108" customFormat="1" ht="15.75" thickBot="1">
      <c r="A7" s="362" t="s">
        <v>1676</v>
      </c>
      <c r="B7" s="363"/>
      <c r="C7" s="364">
        <f>'数据-取费表'!B2</f>
        <v>45940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94" t="s">
        <v>1677</v>
      </c>
      <c r="Q7" s="3727"/>
      <c r="R7" s="700" t="s">
        <v>14</v>
      </c>
      <c r="S7" s="701">
        <f t="shared" ref="S7:S15" si="0">F7</f>
        <v>0</v>
      </c>
      <c r="T7" s="700" t="s">
        <v>14</v>
      </c>
      <c r="U7" s="701">
        <f t="shared" ref="U7:U15" si="1">H7</f>
        <v>0</v>
      </c>
      <c r="V7" s="700" t="s">
        <v>14</v>
      </c>
      <c r="W7" s="701">
        <f t="shared" ref="W7:W15" si="2">J7</f>
        <v>0</v>
      </c>
      <c r="X7" s="702"/>
      <c r="Y7" s="3694" t="s">
        <v>1677</v>
      </c>
      <c r="Z7" s="3695"/>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4" t="s">
        <v>1680</v>
      </c>
      <c r="Q8" s="3695"/>
      <c r="R8" s="700" t="s">
        <v>14</v>
      </c>
      <c r="S8" s="701">
        <f t="shared" si="0"/>
        <v>0</v>
      </c>
      <c r="T8" s="700" t="s">
        <v>14</v>
      </c>
      <c r="U8" s="701">
        <f t="shared" si="1"/>
        <v>0</v>
      </c>
      <c r="V8" s="700" t="s">
        <v>14</v>
      </c>
      <c r="W8" s="701">
        <f t="shared" si="2"/>
        <v>0</v>
      </c>
      <c r="X8" s="702"/>
      <c r="Y8" s="3694" t="s">
        <v>1680</v>
      </c>
      <c r="Z8" s="3695"/>
      <c r="AA8" s="703" t="e">
        <f t="shared" ref="AA8:AA40" si="3">D8/F8</f>
        <v>#DIV/0!</v>
      </c>
      <c r="AB8" s="703" t="e">
        <f t="shared" ref="AB8:AB40" si="4">D8/H8</f>
        <v>#DIV/0!</v>
      </c>
      <c r="AC8" s="703" t="e">
        <f t="shared" ref="AC8:AC40" si="5">D8/J8</f>
        <v>#DIV/0!</v>
      </c>
    </row>
    <row r="9" spans="1:29" s="108" customFormat="1">
      <c r="A9" s="369" t="s">
        <v>1681</v>
      </c>
      <c r="B9" s="63" t="s">
        <v>1682</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37" t="s">
        <v>1683</v>
      </c>
      <c r="Q9" s="1342" t="str">
        <f t="shared" ref="Q9:Q15" si="6">B9</f>
        <v>用途</v>
      </c>
      <c r="R9" s="700" t="s">
        <v>14</v>
      </c>
      <c r="S9" s="701">
        <f t="shared" si="0"/>
        <v>100</v>
      </c>
      <c r="T9" s="700" t="s">
        <v>14</v>
      </c>
      <c r="U9" s="701">
        <f t="shared" si="1"/>
        <v>100</v>
      </c>
      <c r="V9" s="700" t="s">
        <v>14</v>
      </c>
      <c r="W9" s="701">
        <f t="shared" si="2"/>
        <v>100</v>
      </c>
      <c r="X9" s="702"/>
      <c r="Y9" s="3659"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152</v>
      </c>
      <c r="G10" s="383"/>
      <c r="H10" s="127">
        <f>ROUND(100/'数据-取费表'!G16,0)</f>
        <v>152</v>
      </c>
      <c r="I10" s="383"/>
      <c r="J10" s="127">
        <f>ROUND(100/'数据-取费表'!G16,0)</f>
        <v>152</v>
      </c>
      <c r="K10" s="620"/>
      <c r="L10" s="2717"/>
      <c r="M10" s="2718"/>
      <c r="N10" s="2718"/>
      <c r="O10" s="2771"/>
      <c r="P10" s="3737"/>
      <c r="Q10" s="1342" t="str">
        <f t="shared" si="6"/>
        <v>土地使用年限（年）</v>
      </c>
      <c r="R10" s="700" t="s">
        <v>14</v>
      </c>
      <c r="S10" s="701">
        <f t="shared" si="0"/>
        <v>152</v>
      </c>
      <c r="T10" s="700" t="s">
        <v>14</v>
      </c>
      <c r="U10" s="701">
        <f t="shared" si="1"/>
        <v>152</v>
      </c>
      <c r="V10" s="700" t="s">
        <v>14</v>
      </c>
      <c r="W10" s="701">
        <f t="shared" si="2"/>
        <v>152</v>
      </c>
      <c r="X10" s="702"/>
      <c r="Y10" s="3659"/>
      <c r="Z10" s="52" t="str">
        <f t="shared" si="7"/>
        <v>土地使用年限（年）</v>
      </c>
      <c r="AA10" s="703">
        <f t="shared" si="3"/>
        <v>0.65789473684210531</v>
      </c>
      <c r="AB10" s="703">
        <f t="shared" si="4"/>
        <v>0.65789473684210531</v>
      </c>
      <c r="AC10" s="703">
        <f t="shared" si="5"/>
        <v>0.65789473684210531</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7"/>
      <c r="Q11" s="1342" t="str">
        <f t="shared" si="6"/>
        <v>容积率</v>
      </c>
      <c r="R11" s="700" t="s">
        <v>14</v>
      </c>
      <c r="S11" s="701" t="e">
        <f t="shared" si="0"/>
        <v>#N/A</v>
      </c>
      <c r="T11" s="700" t="s">
        <v>14</v>
      </c>
      <c r="U11" s="701" t="e">
        <f t="shared" si="1"/>
        <v>#N/A</v>
      </c>
      <c r="V11" s="700" t="s">
        <v>14</v>
      </c>
      <c r="W11" s="701" t="e">
        <f t="shared" si="2"/>
        <v>#N/A</v>
      </c>
      <c r="X11" s="702"/>
      <c r="Y11" s="365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7"/>
      <c r="Q12" s="1342">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7"/>
      <c r="Q13" s="1342">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7"/>
      <c r="Q14" s="1342">
        <f t="shared" si="6"/>
        <v>111</v>
      </c>
      <c r="R14" s="700" t="s">
        <v>14</v>
      </c>
      <c r="S14" s="701">
        <f t="shared" si="0"/>
        <v>100</v>
      </c>
      <c r="T14" s="700" t="s">
        <v>14</v>
      </c>
      <c r="U14" s="701">
        <f t="shared" si="1"/>
        <v>100</v>
      </c>
      <c r="V14" s="700" t="s">
        <v>14</v>
      </c>
      <c r="W14" s="701">
        <f t="shared" si="2"/>
        <v>100</v>
      </c>
      <c r="X14" s="702"/>
      <c r="Y14" s="3659"/>
      <c r="Z14" s="52">
        <f t="shared" si="7"/>
        <v>111</v>
      </c>
      <c r="AA14" s="703">
        <f t="shared" si="3"/>
        <v>1</v>
      </c>
      <c r="AB14" s="703">
        <f t="shared" si="4"/>
        <v>1</v>
      </c>
      <c r="AC14" s="703">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0" t="s">
        <v>1688</v>
      </c>
      <c r="Q15" s="1351" t="str">
        <f t="shared" si="6"/>
        <v>产业集聚程度</v>
      </c>
      <c r="R15" s="704" t="s">
        <v>14</v>
      </c>
      <c r="S15" s="705">
        <f t="shared" si="0"/>
        <v>100</v>
      </c>
      <c r="T15" s="704" t="s">
        <v>14</v>
      </c>
      <c r="U15" s="705">
        <f t="shared" si="1"/>
        <v>100</v>
      </c>
      <c r="V15" s="704" t="s">
        <v>14</v>
      </c>
      <c r="W15" s="705">
        <f t="shared" si="2"/>
        <v>100</v>
      </c>
      <c r="X15" s="1354"/>
      <c r="Y15" s="3730" t="s">
        <v>1688</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31"/>
      <c r="Q16" s="1351"/>
      <c r="R16" s="704"/>
      <c r="S16" s="705"/>
      <c r="T16" s="704"/>
      <c r="U16" s="705"/>
      <c r="V16" s="704"/>
      <c r="W16" s="705"/>
      <c r="X16" s="1354"/>
      <c r="Y16" s="3731"/>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1"/>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31"/>
      <c r="Q18" s="1351"/>
      <c r="R18" s="704"/>
      <c r="S18" s="705"/>
      <c r="T18" s="704"/>
      <c r="U18" s="705"/>
      <c r="V18" s="704"/>
      <c r="W18" s="705"/>
      <c r="X18" s="1354"/>
      <c r="Y18" s="3731"/>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1"/>
      <c r="Q19" s="1351" t="str">
        <f t="shared" ref="Q19:Q33" si="8">B19</f>
        <v>区域土地利用方向</v>
      </c>
      <c r="R19" s="704" t="s">
        <v>14</v>
      </c>
      <c r="S19" s="705">
        <f>F19</f>
        <v>100</v>
      </c>
      <c r="T19" s="704" t="s">
        <v>14</v>
      </c>
      <c r="U19" s="705">
        <f>H19</f>
        <v>100</v>
      </c>
      <c r="V19" s="704" t="s">
        <v>14</v>
      </c>
      <c r="W19" s="705">
        <f>J19</f>
        <v>100</v>
      </c>
      <c r="X19" s="1354"/>
      <c r="Y19" s="373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31"/>
      <c r="Q20" s="1351"/>
      <c r="R20" s="704"/>
      <c r="S20" s="705"/>
      <c r="T20" s="704"/>
      <c r="U20" s="705"/>
      <c r="V20" s="704"/>
      <c r="W20" s="705"/>
      <c r="X20" s="1354"/>
      <c r="Y20" s="3731"/>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1"/>
      <c r="Q21" s="1351" t="str">
        <f t="shared" si="8"/>
        <v>环境状况</v>
      </c>
      <c r="R21" s="704" t="s">
        <v>14</v>
      </c>
      <c r="S21" s="705">
        <f>F21</f>
        <v>100</v>
      </c>
      <c r="T21" s="704" t="s">
        <v>14</v>
      </c>
      <c r="U21" s="705">
        <f>H21</f>
        <v>100</v>
      </c>
      <c r="V21" s="704" t="s">
        <v>14</v>
      </c>
      <c r="W21" s="705">
        <f>J21</f>
        <v>100</v>
      </c>
      <c r="X21" s="1354"/>
      <c r="Y21" s="373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31"/>
      <c r="Q22" s="1351"/>
      <c r="R22" s="704"/>
      <c r="S22" s="705"/>
      <c r="T22" s="704"/>
      <c r="U22" s="705"/>
      <c r="V22" s="704"/>
      <c r="W22" s="705"/>
      <c r="X22" s="1354"/>
      <c r="Y22" s="3731"/>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1"/>
      <c r="Q23" s="1342" t="str">
        <f t="shared" si="8"/>
        <v>公共配套设施</v>
      </c>
      <c r="R23" s="700" t="s">
        <v>14</v>
      </c>
      <c r="S23" s="701">
        <f>F23</f>
        <v>100</v>
      </c>
      <c r="T23" s="700" t="s">
        <v>14</v>
      </c>
      <c r="U23" s="701">
        <f>H23</f>
        <v>100</v>
      </c>
      <c r="V23" s="700" t="s">
        <v>14</v>
      </c>
      <c r="W23" s="701">
        <f>J23</f>
        <v>100</v>
      </c>
      <c r="X23" s="702"/>
      <c r="Y23" s="373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31"/>
      <c r="Q24" s="1342"/>
      <c r="R24" s="700"/>
      <c r="S24" s="701"/>
      <c r="T24" s="700"/>
      <c r="U24" s="701"/>
      <c r="V24" s="700"/>
      <c r="W24" s="701"/>
      <c r="X24" s="702"/>
      <c r="Y24" s="3731"/>
      <c r="Z24" s="52"/>
      <c r="AA24" s="703">
        <v>1</v>
      </c>
      <c r="AB24" s="703">
        <v>1</v>
      </c>
      <c r="AC24" s="703">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1"/>
      <c r="Q25" s="1342" t="str">
        <f t="shared" ref="Q25" si="9">B25</f>
        <v>基础设施水平</v>
      </c>
      <c r="R25" s="700" t="s">
        <v>14</v>
      </c>
      <c r="S25" s="701">
        <f>F25</f>
        <v>100</v>
      </c>
      <c r="T25" s="700" t="s">
        <v>14</v>
      </c>
      <c r="U25" s="701">
        <f>H25</f>
        <v>100</v>
      </c>
      <c r="V25" s="700" t="s">
        <v>14</v>
      </c>
      <c r="W25" s="701">
        <f>J25</f>
        <v>100</v>
      </c>
      <c r="X25" s="702"/>
      <c r="Y25" s="373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31"/>
      <c r="Q26" s="1342"/>
      <c r="R26" s="700"/>
      <c r="S26" s="701"/>
      <c r="T26" s="700"/>
      <c r="U26" s="701"/>
      <c r="V26" s="700"/>
      <c r="W26" s="701"/>
      <c r="X26" s="702"/>
      <c r="Y26" s="3731"/>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1"/>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1"/>
      <c r="Q28" s="1351" t="str">
        <f t="shared" si="8"/>
        <v>毗邻道路的类型与等级</v>
      </c>
      <c r="R28" s="704" t="s">
        <v>14</v>
      </c>
      <c r="S28" s="705">
        <f t="shared" si="10"/>
        <v>100</v>
      </c>
      <c r="T28" s="704" t="s">
        <v>14</v>
      </c>
      <c r="U28" s="705">
        <f t="shared" si="11"/>
        <v>100</v>
      </c>
      <c r="V28" s="704" t="s">
        <v>14</v>
      </c>
      <c r="W28" s="705">
        <f t="shared" si="12"/>
        <v>100</v>
      </c>
      <c r="X28" s="1354"/>
      <c r="Y28" s="373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31"/>
      <c r="Q29" s="1351"/>
      <c r="R29" s="704"/>
      <c r="S29" s="705"/>
      <c r="T29" s="704"/>
      <c r="U29" s="705"/>
      <c r="V29" s="704"/>
      <c r="W29" s="705"/>
      <c r="X29" s="1354"/>
      <c r="Y29" s="3731"/>
      <c r="Z29" s="1355"/>
      <c r="AA29" s="1352">
        <v>1</v>
      </c>
      <c r="AB29" s="1352">
        <v>1</v>
      </c>
      <c r="AC29" s="1352">
        <v>1</v>
      </c>
    </row>
    <row r="30" spans="1:29" ht="15">
      <c r="A30" s="379"/>
      <c r="B30" s="602" t="s">
        <v>1870</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1"/>
      <c r="Q30" s="1351" t="str">
        <f t="shared" si="8"/>
        <v>土地级别</v>
      </c>
      <c r="R30" s="704" t="s">
        <v>14</v>
      </c>
      <c r="S30" s="705">
        <f t="shared" si="10"/>
        <v>100</v>
      </c>
      <c r="T30" s="704" t="s">
        <v>14</v>
      </c>
      <c r="U30" s="705">
        <f t="shared" si="11"/>
        <v>100</v>
      </c>
      <c r="V30" s="704" t="s">
        <v>14</v>
      </c>
      <c r="W30" s="705">
        <f t="shared" si="12"/>
        <v>100</v>
      </c>
      <c r="X30" s="1354"/>
      <c r="Y30" s="373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1"/>
      <c r="Q31" s="1351">
        <f t="shared" si="8"/>
        <v>111</v>
      </c>
      <c r="R31" s="704" t="s">
        <v>14</v>
      </c>
      <c r="S31" s="705">
        <f t="shared" si="10"/>
        <v>100</v>
      </c>
      <c r="T31" s="704" t="s">
        <v>14</v>
      </c>
      <c r="U31" s="705">
        <f t="shared" si="11"/>
        <v>100</v>
      </c>
      <c r="V31" s="704" t="s">
        <v>14</v>
      </c>
      <c r="W31" s="705">
        <f t="shared" si="12"/>
        <v>100</v>
      </c>
      <c r="X31" s="1354"/>
      <c r="Y31" s="373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5" t="s">
        <v>1693</v>
      </c>
      <c r="Q32" s="1351">
        <f t="shared" si="8"/>
        <v>111</v>
      </c>
      <c r="R32" s="704" t="s">
        <v>14</v>
      </c>
      <c r="S32" s="705">
        <f t="shared" si="10"/>
        <v>100</v>
      </c>
      <c r="T32" s="704" t="s">
        <v>14</v>
      </c>
      <c r="U32" s="705">
        <f t="shared" si="11"/>
        <v>100</v>
      </c>
      <c r="V32" s="704" t="s">
        <v>14</v>
      </c>
      <c r="W32" s="705">
        <f t="shared" si="12"/>
        <v>100</v>
      </c>
      <c r="X32" s="1354"/>
      <c r="Y32" s="3735"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5"/>
      <c r="Q33" s="1351">
        <f t="shared" si="8"/>
        <v>111</v>
      </c>
      <c r="R33" s="707" t="s">
        <v>14</v>
      </c>
      <c r="S33" s="708">
        <f t="shared" si="10"/>
        <v>100</v>
      </c>
      <c r="T33" s="707" t="s">
        <v>14</v>
      </c>
      <c r="U33" s="708">
        <f t="shared" si="11"/>
        <v>100</v>
      </c>
      <c r="V33" s="707" t="s">
        <v>14</v>
      </c>
      <c r="W33" s="708">
        <f t="shared" si="12"/>
        <v>100</v>
      </c>
      <c r="X33" s="709"/>
      <c r="Y33" s="3735"/>
      <c r="Z33" s="710">
        <f t="shared" si="13"/>
        <v>111</v>
      </c>
      <c r="AA33" s="1352">
        <f t="shared" si="3"/>
        <v>1</v>
      </c>
      <c r="AB33" s="1352">
        <f t="shared" si="4"/>
        <v>1</v>
      </c>
      <c r="AC33" s="1352">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5"/>
      <c r="Q34" s="1351" t="str">
        <f>B34</f>
        <v>宗地面积</v>
      </c>
      <c r="R34" s="704" t="s">
        <v>14</v>
      </c>
      <c r="S34" s="705" t="e">
        <f t="shared" si="10"/>
        <v>#N/A</v>
      </c>
      <c r="T34" s="704" t="s">
        <v>14</v>
      </c>
      <c r="U34" s="705" t="e">
        <f t="shared" si="11"/>
        <v>#N/A</v>
      </c>
      <c r="V34" s="704" t="s">
        <v>14</v>
      </c>
      <c r="W34" s="705" t="e">
        <f t="shared" si="12"/>
        <v>#N/A</v>
      </c>
      <c r="X34" s="1354"/>
      <c r="Y34" s="3735"/>
      <c r="Z34" s="1355" t="str">
        <f t="shared" si="13"/>
        <v>宗地面积</v>
      </c>
      <c r="AA34" s="1352" t="e">
        <f t="shared" si="3"/>
        <v>#N/A</v>
      </c>
      <c r="AB34" s="1352" t="e">
        <f t="shared" si="4"/>
        <v>#N/A</v>
      </c>
      <c r="AC34" s="1352" t="e">
        <f t="shared" si="5"/>
        <v>#N/A</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35"/>
      <c r="Q35" s="1351" t="str">
        <f t="shared" ref="Q35:Q40" si="14">B35</f>
        <v>宗地形状</v>
      </c>
      <c r="R35" s="704" t="s">
        <v>14</v>
      </c>
      <c r="S35" s="705">
        <f t="shared" si="10"/>
        <v>100</v>
      </c>
      <c r="T35" s="704" t="s">
        <v>14</v>
      </c>
      <c r="U35" s="705">
        <f t="shared" si="11"/>
        <v>100</v>
      </c>
      <c r="V35" s="704" t="s">
        <v>14</v>
      </c>
      <c r="W35" s="705">
        <f t="shared" si="12"/>
        <v>100</v>
      </c>
      <c r="X35" s="1354"/>
      <c r="Y35" s="3735"/>
      <c r="Z35" s="1355" t="str">
        <f t="shared" si="13"/>
        <v>宗地形状</v>
      </c>
      <c r="AA35" s="1352">
        <f t="shared" si="3"/>
        <v>1</v>
      </c>
      <c r="AB35" s="1352">
        <f t="shared" si="4"/>
        <v>1</v>
      </c>
      <c r="AC35" s="1352">
        <f t="shared" si="5"/>
        <v>1</v>
      </c>
    </row>
    <row r="36" spans="1:31" s="108" customFormat="1" ht="15">
      <c r="A36" s="424"/>
      <c r="B36" s="375" t="s">
        <v>1874</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35"/>
      <c r="Q36" s="1351" t="str">
        <f t="shared" si="14"/>
        <v>宗地开发程度</v>
      </c>
      <c r="R36" s="700" t="s">
        <v>14</v>
      </c>
      <c r="S36" s="701">
        <f t="shared" si="10"/>
        <v>100</v>
      </c>
      <c r="T36" s="700" t="s">
        <v>14</v>
      </c>
      <c r="U36" s="701">
        <f t="shared" si="11"/>
        <v>100</v>
      </c>
      <c r="V36" s="700" t="s">
        <v>14</v>
      </c>
      <c r="W36" s="701">
        <f t="shared" si="12"/>
        <v>100</v>
      </c>
      <c r="X36" s="702"/>
      <c r="Y36" s="3735"/>
      <c r="Z36" s="52" t="str">
        <f t="shared" si="13"/>
        <v>宗地开发程度</v>
      </c>
      <c r="AA36" s="703">
        <f t="shared" si="3"/>
        <v>1</v>
      </c>
      <c r="AB36" s="703">
        <f t="shared" si="4"/>
        <v>1</v>
      </c>
      <c r="AC36" s="703">
        <f t="shared" si="5"/>
        <v>1</v>
      </c>
    </row>
    <row r="37" spans="1:31" ht="15">
      <c r="A37" s="423"/>
      <c r="B37" s="375" t="s">
        <v>1875</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35" t="s">
        <v>1693</v>
      </c>
      <c r="Q37" s="1351" t="str">
        <f t="shared" si="14"/>
        <v>工程地质条件</v>
      </c>
      <c r="R37" s="704" t="s">
        <v>14</v>
      </c>
      <c r="S37" s="705">
        <f t="shared" si="10"/>
        <v>100</v>
      </c>
      <c r="T37" s="704" t="s">
        <v>14</v>
      </c>
      <c r="U37" s="705">
        <f t="shared" si="11"/>
        <v>100</v>
      </c>
      <c r="V37" s="704" t="s">
        <v>14</v>
      </c>
      <c r="W37" s="705">
        <f t="shared" si="12"/>
        <v>100</v>
      </c>
      <c r="X37" s="1354"/>
      <c r="Y37" s="3735" t="s">
        <v>1693</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5"/>
      <c r="Q38" s="1351">
        <f t="shared" si="14"/>
        <v>111</v>
      </c>
      <c r="R38" s="704" t="s">
        <v>14</v>
      </c>
      <c r="S38" s="705">
        <f t="shared" si="10"/>
        <v>100</v>
      </c>
      <c r="T38" s="704" t="s">
        <v>14</v>
      </c>
      <c r="U38" s="705">
        <f t="shared" si="11"/>
        <v>100</v>
      </c>
      <c r="V38" s="704" t="s">
        <v>14</v>
      </c>
      <c r="W38" s="705">
        <f t="shared" si="12"/>
        <v>100</v>
      </c>
      <c r="X38" s="1354"/>
      <c r="Y38" s="3735"/>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5"/>
      <c r="Q39" s="1351">
        <f t="shared" si="14"/>
        <v>111</v>
      </c>
      <c r="R39" s="704" t="s">
        <v>14</v>
      </c>
      <c r="S39" s="705">
        <f t="shared" si="10"/>
        <v>100</v>
      </c>
      <c r="T39" s="704" t="s">
        <v>14</v>
      </c>
      <c r="U39" s="705">
        <f t="shared" si="11"/>
        <v>100</v>
      </c>
      <c r="V39" s="704" t="s">
        <v>14</v>
      </c>
      <c r="W39" s="705">
        <f t="shared" si="12"/>
        <v>100</v>
      </c>
      <c r="X39" s="1354"/>
      <c r="Y39" s="3735"/>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5"/>
      <c r="Q40" s="1351">
        <f t="shared" si="14"/>
        <v>111</v>
      </c>
      <c r="R40" s="707" t="s">
        <v>14</v>
      </c>
      <c r="S40" s="708">
        <f t="shared" si="10"/>
        <v>100</v>
      </c>
      <c r="T40" s="707" t="s">
        <v>14</v>
      </c>
      <c r="U40" s="708">
        <f t="shared" si="11"/>
        <v>100</v>
      </c>
      <c r="V40" s="707" t="s">
        <v>14</v>
      </c>
      <c r="W40" s="708">
        <f t="shared" si="12"/>
        <v>100</v>
      </c>
      <c r="X40" s="709"/>
      <c r="Y40" s="3735"/>
      <c r="Z40" s="710">
        <f t="shared" si="13"/>
        <v>111</v>
      </c>
      <c r="AA40" s="1352">
        <f t="shared" si="3"/>
        <v>1</v>
      </c>
      <c r="AB40" s="1352">
        <f t="shared" si="4"/>
        <v>1</v>
      </c>
      <c r="AC40" s="1352">
        <f t="shared" si="5"/>
        <v>1</v>
      </c>
    </row>
    <row r="41" spans="1:31" ht="15">
      <c r="A41" s="430" t="s">
        <v>1841</v>
      </c>
      <c r="B41" s="1981" t="s">
        <v>1919</v>
      </c>
      <c r="C41" s="630" t="s">
        <v>0</v>
      </c>
      <c r="D41" s="432"/>
      <c r="E41" s="433"/>
      <c r="F41" s="434"/>
      <c r="G41" s="435"/>
      <c r="H41" s="436"/>
      <c r="I41" s="433"/>
      <c r="J41" s="436"/>
      <c r="K41" s="713"/>
      <c r="L41" s="2722"/>
      <c r="M41" s="2714"/>
      <c r="N41" s="2714"/>
      <c r="O41" s="2723"/>
      <c r="P41" s="3737" t="str">
        <f>A41</f>
        <v>成交单价</v>
      </c>
      <c r="Q41" s="3737"/>
      <c r="R41" s="3725">
        <f>E41</f>
        <v>0</v>
      </c>
      <c r="S41" s="3725"/>
      <c r="T41" s="3725">
        <f>G41</f>
        <v>0</v>
      </c>
      <c r="U41" s="3725"/>
      <c r="V41" s="3725">
        <f>I41</f>
        <v>0</v>
      </c>
      <c r="W41" s="3725"/>
      <c r="X41" s="689"/>
      <c r="Y41" s="711"/>
      <c r="Z41" s="689"/>
      <c r="AA41" s="689"/>
      <c r="AB41" s="689"/>
      <c r="AC41" s="689"/>
    </row>
    <row r="42" spans="1:31" ht="15.75" thickBot="1">
      <c r="A42" s="437" t="s">
        <v>1790</v>
      </c>
      <c r="B42" s="631"/>
      <c r="C42" s="440" t="e">
        <f>R43</f>
        <v>#DIV/0!</v>
      </c>
      <c r="D42" s="2316" t="s">
        <v>2134</v>
      </c>
      <c r="E42" s="440" t="e">
        <f>R42</f>
        <v>#DIV/0!</v>
      </c>
      <c r="F42" s="2317"/>
      <c r="G42" s="439" t="e">
        <f>T42</f>
        <v>#DIV/0!</v>
      </c>
      <c r="H42" s="2317"/>
      <c r="I42" s="440" t="e">
        <f>V42</f>
        <v>#DIV/0!</v>
      </c>
      <c r="J42" s="2317"/>
      <c r="K42" s="2319">
        <f>F42+H42+J42</f>
        <v>0</v>
      </c>
      <c r="L42" s="2722"/>
      <c r="M42" s="2714"/>
      <c r="N42" s="2714"/>
      <c r="O42" s="2723"/>
      <c r="P42" s="3737" t="str">
        <f>A42</f>
        <v>比较价值（元/平方米）</v>
      </c>
      <c r="Q42" s="3737"/>
      <c r="R42" s="3777" t="e">
        <f>ROUND(PRODUCT(R41,AA7:AA40),0)</f>
        <v>#DIV/0!</v>
      </c>
      <c r="S42" s="3777"/>
      <c r="T42" s="3777" t="e">
        <f>ROUND(PRODUCT(T41,AB7:AB40),0)</f>
        <v>#DIV/0!</v>
      </c>
      <c r="U42" s="3777"/>
      <c r="V42" s="3777" t="e">
        <f>ROUND(PRODUCT(V41,AC7:AC40),0)</f>
        <v>#DIV/0!</v>
      </c>
      <c r="W42" s="3777"/>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2"/>
      <c r="M43" s="2714"/>
      <c r="N43" s="2714"/>
      <c r="O43" s="2723"/>
      <c r="P43" s="3772" t="str">
        <f>A43</f>
        <v>估价对象XX用房的比较价值（楼面单价，元/平方米）</v>
      </c>
      <c r="Q43" s="3773"/>
      <c r="R43" s="3778" t="e">
        <f>ROUND(IF(D42="简单平均",AVERAGE(R42:W42),R42*F42+T42*H42+V42*J42),0)</f>
        <v>#DIV/0!</v>
      </c>
      <c r="S43" s="3778"/>
      <c r="T43" s="3778"/>
      <c r="U43" s="3778"/>
      <c r="V43" s="3778"/>
      <c r="W43" s="3778"/>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1878</v>
      </c>
      <c r="B50" s="633" t="s">
        <v>1879</v>
      </c>
      <c r="C50" s="1982" t="s">
        <v>1880</v>
      </c>
      <c r="D50" s="1983" t="s">
        <v>1881</v>
      </c>
      <c r="E50" s="634" t="s">
        <v>1882</v>
      </c>
      <c r="F50" s="635" t="s">
        <v>1883</v>
      </c>
      <c r="G50" s="3712" t="s">
        <v>1884</v>
      </c>
      <c r="H50" s="3779"/>
      <c r="I50" s="1355" t="s">
        <v>1920</v>
      </c>
      <c r="J50" s="1355">
        <f>项目基本情况!F35</f>
        <v>0</v>
      </c>
      <c r="K50" s="1985" t="s">
        <v>1886</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1887</v>
      </c>
      <c r="B51" s="637" t="e">
        <f>C43</f>
        <v>#DIV/0!</v>
      </c>
      <c r="C51" s="638">
        <v>1</v>
      </c>
      <c r="D51" s="943">
        <v>1</v>
      </c>
      <c r="E51" s="638">
        <f>'数据-汇总表'!E8+'数据-汇总表'!E9</f>
        <v>571.24</v>
      </c>
      <c r="F51" s="639" t="e">
        <f t="shared" ref="F51:F60" si="15">ROUND(B51*E51/10000,0)</f>
        <v>#DIV/0!</v>
      </c>
      <c r="G51" s="3708"/>
      <c r="H51" s="3737"/>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1888</v>
      </c>
      <c r="B52" s="218" t="e">
        <f>ROUND($C$43*C52*D52,0)</f>
        <v>#DIV/0!</v>
      </c>
      <c r="C52" s="171">
        <f t="shared" ref="C52:C60" si="16">IF($C$50="北京市系数",I52,J52)</f>
        <v>0</v>
      </c>
      <c r="D52" s="944">
        <v>0.25</v>
      </c>
      <c r="E52" s="642"/>
      <c r="F52" s="639" t="e">
        <f t="shared" si="15"/>
        <v>#DIV/0!</v>
      </c>
      <c r="G52" s="3004" t="s">
        <v>1889</v>
      </c>
      <c r="H52" s="886">
        <f>项目基本情况!B37</f>
        <v>0</v>
      </c>
      <c r="I52" s="772">
        <f>SUMIF(修正!A59:A70,H52,修正!B59:B70)</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1890</v>
      </c>
      <c r="B53" s="218" t="e">
        <f t="shared" ref="B53:B60" si="17">ROUND($C$43*C53*D53,0)</f>
        <v>#DIV/0!</v>
      </c>
      <c r="C53" s="171">
        <f t="shared" si="16"/>
        <v>0</v>
      </c>
      <c r="D53" s="944">
        <v>0.25</v>
      </c>
      <c r="E53" s="642"/>
      <c r="F53" s="639" t="e">
        <f t="shared" si="15"/>
        <v>#DIV/0!</v>
      </c>
      <c r="G53" s="3005"/>
      <c r="H53" s="886">
        <f>项目基本情况!B37</f>
        <v>0</v>
      </c>
      <c r="I53" s="772">
        <f>SUMIF(修正!A59:A70,H53,修正!C59:C70)</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1891</v>
      </c>
      <c r="B54" s="218" t="e">
        <f t="shared" si="17"/>
        <v>#DIV/0!</v>
      </c>
      <c r="C54" s="171">
        <f t="shared" si="16"/>
        <v>0</v>
      </c>
      <c r="D54" s="944">
        <v>0.25</v>
      </c>
      <c r="E54" s="642"/>
      <c r="F54" s="639" t="e">
        <f t="shared" si="15"/>
        <v>#DIV/0!</v>
      </c>
      <c r="G54" s="3005"/>
      <c r="H54" s="886">
        <f>项目基本情况!B37</f>
        <v>0</v>
      </c>
      <c r="I54" s="772">
        <f>SUMIF(修正!A59:A70,H54,修正!D59:D70)</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1892</v>
      </c>
      <c r="B56" s="218" t="e">
        <f t="shared" si="17"/>
        <v>#DIV/0!</v>
      </c>
      <c r="C56" s="171">
        <f t="shared" si="16"/>
        <v>0</v>
      </c>
      <c r="D56" s="944">
        <v>0.25</v>
      </c>
      <c r="E56" s="217">
        <f>'数据-汇总表'!E11</f>
        <v>0</v>
      </c>
      <c r="F56" s="639" t="e">
        <f t="shared" si="15"/>
        <v>#DIV/0!</v>
      </c>
      <c r="G56" s="1986" t="s">
        <v>1893</v>
      </c>
      <c r="H56" s="886">
        <f>项目基本情况!C37</f>
        <v>0</v>
      </c>
      <c r="I56" s="772">
        <f>SUMIF(修正!A59:A70,H56,修正!E59:E70)</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SUMIF(修正!A59:A70,H57,修正!F59:F70)</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1896</v>
      </c>
      <c r="B58" s="218" t="e">
        <f t="shared" si="17"/>
        <v>#DIV/0!</v>
      </c>
      <c r="C58" s="171">
        <f t="shared" si="16"/>
        <v>0</v>
      </c>
      <c r="D58" s="944">
        <v>0.25</v>
      </c>
      <c r="E58" s="217">
        <f>'数据-汇总表'!E13</f>
        <v>0</v>
      </c>
      <c r="F58" s="639" t="e">
        <f t="shared" si="15"/>
        <v>#DIV/0!</v>
      </c>
      <c r="G58" s="891" t="s">
        <v>1897</v>
      </c>
      <c r="H58" s="886">
        <f>IF(G58="商业",项目基本情况!B37,IF(G58="办公",项目基本情况!C37,IF(G58="住宅",项目基本情况!D37,项目基本情况!E37)))</f>
        <v>0</v>
      </c>
      <c r="I58" s="772">
        <f>SUMIF(修正!A59:A70,H58,修正!G59:G70)</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1898</v>
      </c>
      <c r="B59" s="218" t="e">
        <f t="shared" si="17"/>
        <v>#DIV/0!</v>
      </c>
      <c r="C59" s="171">
        <f t="shared" si="16"/>
        <v>0</v>
      </c>
      <c r="D59" s="944">
        <v>0.25</v>
      </c>
      <c r="E59" s="217">
        <f>'数据-汇总表'!E14</f>
        <v>0</v>
      </c>
      <c r="F59" s="639" t="e">
        <f t="shared" si="15"/>
        <v>#DIV/0!</v>
      </c>
      <c r="G59" s="1986" t="s">
        <v>1889</v>
      </c>
      <c r="H59" s="886">
        <f>项目基本情况!B37</f>
        <v>0</v>
      </c>
      <c r="I59" s="772">
        <f>SUMIF(修正!A59:A70,H59,修正!G59:G70)</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1899</v>
      </c>
      <c r="B60" s="218" t="e">
        <f t="shared" si="17"/>
        <v>#DIV/0!</v>
      </c>
      <c r="C60" s="171">
        <f t="shared" si="16"/>
        <v>0</v>
      </c>
      <c r="D60" s="944">
        <v>0.25</v>
      </c>
      <c r="E60" s="217">
        <f>'数据-汇总表'!E15</f>
        <v>0</v>
      </c>
      <c r="F60" s="639" t="e">
        <f t="shared" si="15"/>
        <v>#DIV/0!</v>
      </c>
      <c r="G60" s="1987" t="s">
        <v>1893</v>
      </c>
      <c r="H60" s="896">
        <f>项目基本情况!C37</f>
        <v>0</v>
      </c>
      <c r="I60" s="772">
        <f>SUMIF(修正!A59:A70,H60,修正!G59:G70)</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1900</v>
      </c>
      <c r="B61" s="644" t="s">
        <v>22</v>
      </c>
      <c r="C61" s="644" t="s">
        <v>23</v>
      </c>
      <c r="D61" s="644" t="s">
        <v>392</v>
      </c>
      <c r="E61" s="644">
        <f>IF(B41="楼面地价",SUM(E51:E60),'数据-汇总表'!D3)</f>
        <v>62.48</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2025-10-1</v>
      </c>
      <c r="D63" s="691">
        <f>EDATE(C63,-3)</f>
        <v>45839</v>
      </c>
      <c r="E63" s="691">
        <f>EDATE(D63,-3)</f>
        <v>45748</v>
      </c>
      <c r="F63" s="691">
        <f t="shared" ref="F63:O63" si="18">EDATE(E63,-3)</f>
        <v>45658</v>
      </c>
      <c r="G63" s="691">
        <f t="shared" si="18"/>
        <v>45566</v>
      </c>
      <c r="H63" s="691">
        <f t="shared" si="18"/>
        <v>45474</v>
      </c>
      <c r="I63" s="691">
        <f t="shared" si="18"/>
        <v>45383</v>
      </c>
      <c r="J63" s="691">
        <f t="shared" si="18"/>
        <v>45292</v>
      </c>
      <c r="K63" s="691">
        <f t="shared" si="18"/>
        <v>45200</v>
      </c>
      <c r="L63" s="691">
        <f t="shared" si="18"/>
        <v>45108</v>
      </c>
      <c r="M63" s="691">
        <f t="shared" si="18"/>
        <v>45017</v>
      </c>
      <c r="N63" s="691">
        <f t="shared" si="18"/>
        <v>44927</v>
      </c>
      <c r="O63" s="691">
        <f t="shared" si="18"/>
        <v>44835</v>
      </c>
      <c r="P63" s="2723"/>
      <c r="Q63" s="2723"/>
      <c r="R63" s="2723"/>
      <c r="S63" s="2723"/>
      <c r="T63" s="2723"/>
      <c r="U63" s="2723"/>
      <c r="V63" s="2723"/>
      <c r="W63" s="2723"/>
      <c r="X63" s="2723"/>
      <c r="Y63" s="2723"/>
      <c r="Z63" s="2723"/>
      <c r="AA63" s="2723"/>
      <c r="AB63" s="2723"/>
      <c r="AC63" s="2723"/>
      <c r="AD63" s="2723"/>
      <c r="AE63" s="2723"/>
    </row>
    <row r="64" spans="1:31" ht="21.75" thickBot="1">
      <c r="A64" s="693" t="s">
        <v>1795</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1901</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1716</v>
      </c>
      <c r="B70" s="477" t="s">
        <v>1682</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1685</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1687</v>
      </c>
      <c r="B83" s="477" t="s">
        <v>1826</v>
      </c>
      <c r="C83" s="522" t="s">
        <v>1718</v>
      </c>
      <c r="D83" s="522" t="s">
        <v>1719</v>
      </c>
      <c r="E83" s="522" t="s">
        <v>1720</v>
      </c>
      <c r="F83" s="522" t="s">
        <v>1721</v>
      </c>
      <c r="G83" s="522" t="s">
        <v>1722</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1723</v>
      </c>
      <c r="C85" s="527" t="s">
        <v>1718</v>
      </c>
      <c r="D85" s="527" t="s">
        <v>1719</v>
      </c>
      <c r="E85" s="527" t="s">
        <v>1720</v>
      </c>
      <c r="F85" s="527" t="s">
        <v>1721</v>
      </c>
      <c r="G85" s="527" t="s">
        <v>1722</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1812</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1870</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1911</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1913</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1914</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S24" sqref="S24:S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87" t="s">
        <v>2081</v>
      </c>
      <c r="D1" s="3788"/>
      <c r="E1" s="3788"/>
      <c r="F1" s="3788"/>
      <c r="G1" s="3788"/>
      <c r="H1" s="3788"/>
      <c r="I1" s="3788"/>
      <c r="J1" s="3788"/>
      <c r="K1" s="3788"/>
      <c r="L1" s="3788"/>
      <c r="M1" s="3788"/>
      <c r="N1" s="3788"/>
      <c r="O1" s="3788"/>
      <c r="P1" s="3788"/>
      <c r="Q1" s="3788"/>
      <c r="R1" s="3788"/>
      <c r="S1" s="3789"/>
      <c r="T1" s="982" t="s">
        <v>2082</v>
      </c>
    </row>
    <row r="2" spans="1:45" s="655" customFormat="1" ht="38.25">
      <c r="A2" s="983"/>
      <c r="B2" s="651" t="s">
        <v>2083</v>
      </c>
      <c r="C2" s="652" t="str">
        <f t="shared" ref="C2:L2" si="0">C3&amp;"(含)"&amp;"-"&amp;D3</f>
        <v>0(含)-300</v>
      </c>
      <c r="D2" s="653" t="str">
        <f t="shared" si="0"/>
        <v>300(含)-500</v>
      </c>
      <c r="E2" s="653" t="str">
        <f t="shared" si="0"/>
        <v>500(含)-800</v>
      </c>
      <c r="F2" s="653" t="str">
        <f t="shared" si="0"/>
        <v>800(含)-1000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500</v>
      </c>
      <c r="F3" s="657">
        <f>'比较法-办公'!F104</f>
        <v>800</v>
      </c>
      <c r="G3" s="657">
        <f>'比较法-办公'!G104</f>
        <v>1000</v>
      </c>
      <c r="H3" s="657"/>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99</v>
      </c>
      <c r="D4" s="988">
        <f>'比较法-办公'!D105</f>
        <v>100</v>
      </c>
      <c r="E4" s="988">
        <f>'比较法-办公'!E105</f>
        <v>99</v>
      </c>
      <c r="F4" s="988">
        <f>'比较法-办公'!F105</f>
        <v>98</v>
      </c>
      <c r="G4" s="988">
        <f>'比较法-办公'!G105</f>
        <v>97</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2090</v>
      </c>
      <c r="B17" s="2148"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2092</v>
      </c>
      <c r="E19" s="1339"/>
      <c r="F19" s="1339"/>
      <c r="G19" s="1339"/>
      <c r="H19" s="1058"/>
      <c r="I19" s="159"/>
      <c r="J19" s="159"/>
      <c r="K19" s="159"/>
      <c r="L19" s="159"/>
      <c r="M19" s="159"/>
      <c r="N19" s="159"/>
      <c r="O19" s="159"/>
      <c r="P19" s="159"/>
      <c r="Q19" s="159"/>
      <c r="R19" s="717"/>
      <c r="S19" s="129"/>
    </row>
    <row r="20" spans="1:45" ht="16.5" thickBot="1">
      <c r="A20" s="661" t="s">
        <v>2093</v>
      </c>
      <c r="B20" s="294">
        <f>IF(D20="——",S22,S22-F20)</f>
        <v>4169</v>
      </c>
      <c r="C20" s="159"/>
      <c r="D20" s="2150" t="s">
        <v>43</v>
      </c>
      <c r="E20" s="1340"/>
      <c r="F20" s="982" t="e">
        <f ca="1">SUMIF(INDIRECT("'"&amp;H20&amp;"'"&amp;"!A:A"),"承租人权益价值",INDIRECT("'"&amp;H20&amp;"'"&amp;"!c:c"))</f>
        <v>#REF!</v>
      </c>
      <c r="G20" s="982" t="s">
        <v>2094</v>
      </c>
      <c r="H20" s="2151"/>
      <c r="I20" s="159"/>
      <c r="J20" s="159"/>
      <c r="K20" s="159"/>
      <c r="L20" s="159"/>
      <c r="M20" s="159"/>
      <c r="N20" s="159"/>
      <c r="O20" s="159"/>
      <c r="P20" s="159"/>
      <c r="Q20" s="159"/>
      <c r="R20" s="717"/>
      <c r="S20" s="129"/>
    </row>
    <row r="21" spans="1:45" ht="15.75">
      <c r="A21" s="661" t="s">
        <v>2095</v>
      </c>
      <c r="B21" s="294">
        <f>ROUND(B20*10000/B22,0)</f>
        <v>72982</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571.24</v>
      </c>
      <c r="C22" s="3784" t="s">
        <v>27</v>
      </c>
      <c r="D22" s="3785"/>
      <c r="E22" s="3785"/>
      <c r="F22" s="3785"/>
      <c r="G22" s="3785"/>
      <c r="H22" s="3785"/>
      <c r="I22" s="3785"/>
      <c r="J22" s="3785"/>
      <c r="K22" s="3785"/>
      <c r="L22" s="3785"/>
      <c r="M22" s="3785"/>
      <c r="N22" s="3785"/>
      <c r="O22" s="3785"/>
      <c r="P22" s="3785"/>
      <c r="Q22" s="3786"/>
      <c r="R22" s="662">
        <f>ROUND(S22*10000/B22,0)</f>
        <v>72982</v>
      </c>
      <c r="S22" s="21">
        <f>SUM(S24:S10000)</f>
        <v>4169</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701</v>
      </c>
      <c r="B24" s="664">
        <v>96.56</v>
      </c>
      <c r="C24" s="2808">
        <v>1</v>
      </c>
      <c r="D24" s="2809"/>
      <c r="E24" s="2808">
        <v>1</v>
      </c>
      <c r="F24" s="2809"/>
      <c r="G24" s="2808">
        <v>1</v>
      </c>
      <c r="H24" s="2809"/>
      <c r="I24" s="2808">
        <v>1</v>
      </c>
      <c r="J24" s="2809"/>
      <c r="K24" s="2808">
        <v>1</v>
      </c>
      <c r="L24" s="2809"/>
      <c r="M24" s="2808">
        <v>1</v>
      </c>
      <c r="N24" s="2809"/>
      <c r="O24" s="2808">
        <v>1</v>
      </c>
      <c r="P24" s="2809"/>
      <c r="Q24" s="2808">
        <v>1</v>
      </c>
      <c r="R24" s="667">
        <f>'比较法-办公'!C50</f>
        <v>72962</v>
      </c>
      <c r="S24" s="665">
        <f t="shared" ref="S24:S54" si="11">ROUND(R24*B24/10000,0)</f>
        <v>705</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76">
        <v>702</v>
      </c>
      <c r="B25" s="54">
        <v>96.56</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72962</v>
      </c>
      <c r="S25" s="316">
        <f t="shared" si="11"/>
        <v>705</v>
      </c>
    </row>
    <row r="26" spans="1:45">
      <c r="A26" s="3476">
        <v>703</v>
      </c>
      <c r="B26" s="54">
        <v>133.32</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72962</v>
      </c>
      <c r="S26" s="316">
        <f t="shared" si="11"/>
        <v>973</v>
      </c>
    </row>
    <row r="27" spans="1:45">
      <c r="A27" s="3476">
        <v>704</v>
      </c>
      <c r="B27" s="54">
        <v>122.4</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72962</v>
      </c>
      <c r="S27" s="316">
        <f t="shared" si="11"/>
        <v>893</v>
      </c>
    </row>
    <row r="28" spans="1:45">
      <c r="A28" s="3476">
        <v>706</v>
      </c>
      <c r="B28" s="54">
        <v>122.4</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72962</v>
      </c>
      <c r="S28" s="316">
        <f t="shared" si="11"/>
        <v>893</v>
      </c>
    </row>
    <row r="29" spans="1:45">
      <c r="A29" s="664"/>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1"/>
      <c r="G1" s="2791"/>
      <c r="H1" s="2791"/>
      <c r="I1" s="2791"/>
      <c r="J1" s="2791"/>
      <c r="K1" s="2791"/>
      <c r="L1" s="2791"/>
      <c r="M1" s="2791"/>
      <c r="N1" s="2791"/>
      <c r="O1" s="2791"/>
      <c r="P1" s="2791"/>
    </row>
    <row r="2" spans="1:16" ht="15.75">
      <c r="A2" s="2144" t="s">
        <v>2070</v>
      </c>
      <c r="B2" s="2601" t="e">
        <f ca="1">SUMIF(B6:B13,"&lt;&gt;#ref!",B6:B13)</f>
        <v>#DIV/0!</v>
      </c>
      <c r="C2" s="2144" t="s">
        <v>2071</v>
      </c>
      <c r="D2" s="2144" t="s">
        <v>2072</v>
      </c>
      <c r="E2" s="2611">
        <f ca="1">SUMIF(E6:E13,"&lt;&gt;#ref!",E6:E13)</f>
        <v>0</v>
      </c>
      <c r="F2" s="2791"/>
      <c r="G2" s="2791"/>
      <c r="H2" s="2791"/>
      <c r="I2" s="2791"/>
      <c r="J2" s="2791"/>
      <c r="K2" s="2791"/>
      <c r="L2" s="2791"/>
      <c r="M2" s="2791"/>
      <c r="N2" s="2791"/>
      <c r="O2" s="2791"/>
      <c r="P2" s="2791"/>
    </row>
    <row r="3" spans="1:16" ht="15.75">
      <c r="A3" s="2144" t="s">
        <v>2073</v>
      </c>
      <c r="B3" s="2601" t="e">
        <f ca="1">ROUND(B2*10000/E2,0)</f>
        <v>#DIV/0!</v>
      </c>
      <c r="C3" s="2144" t="s">
        <v>2079</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2074</v>
      </c>
      <c r="B5" s="2609" t="s">
        <v>2075</v>
      </c>
      <c r="C5" s="2145"/>
      <c r="D5" s="2791"/>
      <c r="E5" s="2610" t="s">
        <v>2076</v>
      </c>
      <c r="F5" s="2791"/>
      <c r="G5" s="2791"/>
      <c r="H5" s="2791"/>
      <c r="I5" s="2791"/>
      <c r="J5" s="2791"/>
      <c r="K5" s="2791"/>
      <c r="L5" s="2791"/>
      <c r="M5" s="2791"/>
      <c r="N5" s="2791"/>
      <c r="O5" s="2791"/>
      <c r="P5" s="2791"/>
    </row>
    <row r="6" spans="1:16" ht="15.75">
      <c r="A6" s="2608" t="s">
        <v>2077</v>
      </c>
      <c r="B6" s="2601" t="e">
        <f ca="1">SUMIF(INDIRECT("'"&amp;A6&amp;"'"&amp;"!A:A"),"总价",INDIRECT("'"&amp;A6&amp;"'"&amp;"!B:B"))</f>
        <v>#DIV/0!</v>
      </c>
      <c r="C6" s="2144" t="s">
        <v>2071</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4" t="s">
        <v>2071</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2071</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2071</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2071</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2071</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2071</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2071</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t="e">
        <f>C30</f>
        <v>#DIV/0!</v>
      </c>
      <c r="C2" s="1998" t="s">
        <v>1932</v>
      </c>
      <c r="D2" s="1999" t="s">
        <v>1933</v>
      </c>
      <c r="E2" s="3420"/>
      <c r="F2" s="1999" t="s">
        <v>1934</v>
      </c>
      <c r="G2" s="2000">
        <f>IF(E2="商业",项目基本情况!B37,IF(E2="办公",项目基本情况!C37,IF(E2="住宅",项目基本情况!D37,IF(E2="工业",项目基本情况!E37,项目基本情况!F37))))</f>
        <v>0</v>
      </c>
      <c r="H2" s="1999" t="s">
        <v>1935</v>
      </c>
      <c r="I2" s="2000">
        <f>IF(E2="商业",项目基本情况!B38,IF(E2="办公",项目基本情况!C38,IF(E2="住宅",项目基本情况!D38,IF(E2="工业",项目基本情况!E38,项目基本情况!F38))))</f>
        <v>0</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8"/>
      <c r="F3" s="2003"/>
      <c r="G3" s="751">
        <f>IF(F3="宗地容积率",'数据-汇总表'!I4,IF(F3="估价对象容积率",'数据-汇总表'!I6,'数据-汇总表'!I7))</f>
        <v>0</v>
      </c>
      <c r="H3" s="170" t="s">
        <v>1940</v>
      </c>
      <c r="I3" s="774"/>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97"/>
      <c r="B4" s="3798"/>
      <c r="C4" s="3798"/>
      <c r="D4" s="3799"/>
      <c r="E4" s="3799"/>
      <c r="F4" s="3799"/>
      <c r="G4" s="3799"/>
      <c r="H4" s="3799"/>
      <c r="I4" s="3799"/>
      <c r="J4" s="3800"/>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t="e">
        <f>ROUND(IF(E2="商业",C6*C7*C17+C20,(IF(E2="住宅",C6*C13*C17+C20,IF(E2="办公",C6*C12*C17+C20,C6+C20)))),0)</f>
        <v>#DIV/0!</v>
      </c>
      <c r="D5" s="1338" t="e">
        <f>ROUND(C6*C17+C20,0)</f>
        <v>#DIV/0!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10"/>
      <c r="AD6" s="2011"/>
      <c r="AE6" s="2011"/>
      <c r="AF6" s="2011"/>
      <c r="AG6" s="2011"/>
      <c r="AH6" s="2011"/>
      <c r="AI6" s="2011"/>
      <c r="AJ6" s="2012"/>
    </row>
    <row r="7" spans="1:36" ht="24.75" thickBot="1">
      <c r="A7" s="3302" t="s">
        <v>3233</v>
      </c>
      <c r="B7" s="2020" t="s">
        <v>1949</v>
      </c>
      <c r="C7" s="754" t="e">
        <f>IF(C8="不临65条商业街",1,ROUND(1+(1.6*E8+1.2*E9+0.8*E10+0.4*E11)*C9,4))</f>
        <v>#DIV/0!</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7"/>
      <c r="T7" s="3359" t="e">
        <f t="shared" si="0"/>
        <v>#DIV/0!</v>
      </c>
      <c r="U7" s="1212"/>
      <c r="V7" s="3359" t="e">
        <f t="shared" si="1"/>
        <v>#DIV/0!</v>
      </c>
      <c r="W7" s="1357" t="s">
        <v>1952</v>
      </c>
      <c r="X7" s="1213">
        <f>G2</f>
        <v>0</v>
      </c>
      <c r="Y7" s="1213" t="s">
        <v>1953</v>
      </c>
      <c r="Z7" s="1214">
        <f>G3</f>
        <v>0</v>
      </c>
      <c r="AA7" s="1215"/>
      <c r="AB7" s="1215"/>
      <c r="AC7" s="1216"/>
      <c r="AD7" s="1217"/>
      <c r="AE7" s="1217"/>
      <c r="AF7" s="1217"/>
      <c r="AG7" s="1217"/>
      <c r="AH7" s="1217"/>
      <c r="AI7" s="1217"/>
      <c r="AJ7" s="1218"/>
    </row>
    <row r="8" spans="1:36" ht="15">
      <c r="A8" s="3297"/>
      <c r="B8" s="170" t="s">
        <v>1954</v>
      </c>
      <c r="C8" s="2025"/>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59" t="e">
        <f t="shared" si="0"/>
        <v>#DIV/0!</v>
      </c>
      <c r="U8" s="1212"/>
      <c r="V8" s="3359" t="e">
        <f t="shared" si="1"/>
        <v>#DIV/0!</v>
      </c>
      <c r="W8" s="3794" t="s">
        <v>1957</v>
      </c>
      <c r="X8" s="3795"/>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7"/>
      <c r="B9" s="170" t="s">
        <v>1970</v>
      </c>
      <c r="C9" s="757">
        <f>SUMIF(修正!C73:C140,C8,修正!E73:E140)</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59" t="e">
        <f t="shared" si="0"/>
        <v>#DIV/0!</v>
      </c>
      <c r="U9" s="1212"/>
      <c r="V9" s="3359" t="e">
        <f t="shared" si="1"/>
        <v>#DIV/0!</v>
      </c>
      <c r="W9" s="3796"/>
      <c r="X9" s="3360" t="s">
        <v>3262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1973</v>
      </c>
      <c r="C10" s="171">
        <f>SUMIF(修正!C73:C140,C8,修正!F73:F140)</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59" t="e">
        <f t="shared" si="0"/>
        <v>#DIV/0!</v>
      </c>
      <c r="U10" s="1212"/>
      <c r="V10" s="3359" t="e">
        <f t="shared" si="1"/>
        <v>#DIV/0!</v>
      </c>
      <c r="W10" s="379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3238</v>
      </c>
      <c r="B13" s="2033" t="s">
        <v>1979</v>
      </c>
      <c r="C13" s="754">
        <f>ROUND(C16*D16*E16*F16*G16*H16*I16*J16,4)</f>
        <v>0</v>
      </c>
      <c r="D13" s="2034" t="s">
        <v>1980</v>
      </c>
      <c r="E13" s="2035"/>
      <c r="F13" s="2035"/>
      <c r="G13" s="2036"/>
      <c r="H13" s="2036"/>
      <c r="I13" s="2036"/>
      <c r="J13" s="2037"/>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9" t="s">
        <v>1982</v>
      </c>
      <c r="C14" s="2040" t="s">
        <v>1983</v>
      </c>
      <c r="D14" s="1349" t="s">
        <v>1984</v>
      </c>
      <c r="E14" s="27" t="s">
        <v>1985</v>
      </c>
      <c r="F14" s="3310" t="s">
        <v>3239</v>
      </c>
      <c r="G14" s="3310" t="s">
        <v>3239</v>
      </c>
      <c r="H14" s="3310" t="s">
        <v>3239</v>
      </c>
      <c r="I14" s="3310" t="s">
        <v>3239</v>
      </c>
      <c r="J14" s="3310" t="s">
        <v>3239</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3240</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1986</v>
      </c>
      <c r="C16" s="3316"/>
      <c r="D16" s="3316"/>
      <c r="E16" s="3316"/>
      <c r="F16" s="3316">
        <v>1</v>
      </c>
      <c r="G16" s="3316">
        <v>1</v>
      </c>
      <c r="H16" s="3316">
        <v>1</v>
      </c>
      <c r="I16" s="3316">
        <v>1</v>
      </c>
      <c r="J16" s="3317">
        <v>1</v>
      </c>
      <c r="K16" s="1118"/>
      <c r="L16" s="1996"/>
      <c r="M16" s="1996"/>
      <c r="N16" s="1996"/>
      <c r="O16" s="1996"/>
      <c r="P16" s="1996"/>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3244</v>
      </c>
      <c r="E18" s="3327"/>
      <c r="F18" s="3322" t="s">
        <v>3247</v>
      </c>
      <c r="G18" s="3326">
        <f>ROUND(1-(1/(POWER(1+G24,E18))),4)</f>
        <v>0</v>
      </c>
      <c r="H18" s="3322" t="s">
        <v>3249</v>
      </c>
      <c r="I18" s="3326">
        <f>ROUND(1-(1/(POWER(1+G24,J24))),4)</f>
        <v>0</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3245</v>
      </c>
      <c r="E19" s="3336"/>
      <c r="F19" s="3337" t="s">
        <v>3248</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801" t="s">
        <v>3250</v>
      </c>
      <c r="B20" s="167" t="s">
        <v>1991</v>
      </c>
      <c r="C20" s="3323" t="e">
        <f>ROUND(IF(F21="与级别开发程度一致",0,(G21-E21)/C21),0)</f>
        <v>#DIV/0!</v>
      </c>
      <c r="D20" s="3339" t="s">
        <v>1995</v>
      </c>
      <c r="E20" s="3340"/>
      <c r="F20" s="3807" t="s">
        <v>1992</v>
      </c>
      <c r="G20" s="3808"/>
      <c r="H20" s="3324"/>
      <c r="I20" s="3324"/>
      <c r="J20" s="3325"/>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15" thickBot="1">
      <c r="A21" s="3802"/>
      <c r="B21" s="2163" t="s">
        <v>1994</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1997</v>
      </c>
      <c r="C22" s="2159">
        <f>SUMIF(修正!C20:C53,E3,修正!E20:E53)</f>
        <v>0</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15.75" thickBot="1">
      <c r="A23" s="2049" t="s">
        <v>364</v>
      </c>
      <c r="B23" s="2050" t="s">
        <v>1998</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1999</v>
      </c>
      <c r="E23" s="760">
        <v>44197</v>
      </c>
      <c r="F23" s="2053" t="s">
        <v>2000</v>
      </c>
      <c r="G23" s="761">
        <f>'数据-取费表'!B2</f>
        <v>45940</v>
      </c>
      <c r="H23" s="3341"/>
      <c r="I23" s="3342" t="str">
        <f>IF(H23="季度增幅（自定义）",SUMIF(N25:N28,E2,O25:O28),"")</f>
        <v/>
      </c>
      <c r="J23" s="3444"/>
      <c r="K23" s="1124"/>
      <c r="L23" s="2054" t="s">
        <v>2001</v>
      </c>
      <c r="M23" s="1327">
        <f>ROUND(SUMIF(地价!B2:G2,E2,地价!B16:G16),0)</f>
        <v>0</v>
      </c>
      <c r="N23" s="2055" t="s">
        <v>2002</v>
      </c>
      <c r="O23" s="762">
        <f>ROUNDDOWN(DATEDIF(E23,G23,"M")/3,0)</f>
        <v>19</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t="e">
        <f>ROUND(POWER(1+G24,J24-I24)*(POWER(1+G24,I24)-1)/(POWER(1+G24,J24)-1),4)</f>
        <v>#DIV/0!</v>
      </c>
      <c r="D24" s="2059" t="s">
        <v>2004</v>
      </c>
      <c r="E24" s="1334">
        <f>存贷款利率!E28/100</f>
        <v>4.3499999999999997E-2</v>
      </c>
      <c r="F24" s="2059" t="s">
        <v>1996</v>
      </c>
      <c r="G24" s="767">
        <f>SUMIF(M30:Q30,E2,M33:Q33)</f>
        <v>0</v>
      </c>
      <c r="H24" s="2059" t="s">
        <v>2005</v>
      </c>
      <c r="I24" s="768" t="e">
        <f>SUMIF('数据-取费表'!C6:C15,E2,'数据-取费表'!F6:F15)/COUNTIF('数据-取费表'!C6:C15,E2)</f>
        <v>#DIV/0!</v>
      </c>
      <c r="J24" s="769">
        <f>IF(E2="住宅",70,IF(E2="商业",40,50))</f>
        <v>50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3329</v>
      </c>
      <c r="C25" s="770">
        <f>IF(B25="容积率修正",IF(G3&lt;10,D26,J26),C27)</f>
        <v>0</v>
      </c>
      <c r="D25" s="2066"/>
      <c r="E25" s="2066"/>
      <c r="F25" s="2066"/>
      <c r="G25" s="2066"/>
      <c r="H25" s="2066"/>
      <c r="I25" s="2066"/>
      <c r="J25" s="2067"/>
      <c r="K25" s="1124"/>
      <c r="L25" s="2786"/>
      <c r="M25" s="2786"/>
      <c r="N25" s="2068" t="s">
        <v>2010</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3" t="s">
        <v>3251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3252</v>
      </c>
      <c r="J26" s="771" t="str">
        <f>IF(G3&gt;=10,D115,"——")</f>
        <v>——</v>
      </c>
      <c r="K26" s="1124"/>
      <c r="L26" s="2786"/>
      <c r="M26" s="2786"/>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0</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0</v>
      </c>
      <c r="D28" s="2051"/>
      <c r="E28" s="2076"/>
      <c r="F28" s="2076"/>
      <c r="G28" s="2076"/>
      <c r="H28" s="2076"/>
      <c r="I28" s="2076"/>
      <c r="J28" s="2077"/>
      <c r="K28" s="1124"/>
      <c r="L28" s="2786"/>
      <c r="M28" s="2786"/>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3" t="s">
        <v>2020</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t="e">
        <f>IF(B25="容积率修正",E33+SUM(E37:E42),SUM(V2:V16)+SUM(E37:E42))</f>
        <v>#DIV/0!</v>
      </c>
      <c r="D30" s="2082"/>
      <c r="E30" s="2045"/>
      <c r="F30" s="2083"/>
      <c r="G30" s="2045"/>
      <c r="H30" s="2045"/>
      <c r="I30" s="2045"/>
      <c r="J30" s="2084"/>
      <c r="K30" s="1118"/>
      <c r="L30" s="3349" t="s">
        <v>1933</v>
      </c>
      <c r="M30" s="3350" t="s">
        <v>1987</v>
      </c>
      <c r="N30" s="3350" t="s">
        <v>1988</v>
      </c>
      <c r="O30" s="3350" t="s">
        <v>1989</v>
      </c>
      <c r="P30" s="3350" t="s">
        <v>1990</v>
      </c>
      <c r="Q30" s="3353" t="s">
        <v>3256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t="e">
        <f>E34+SUM(I37:I42)</f>
        <v>#DIV/0!</v>
      </c>
      <c r="D31" s="2086"/>
      <c r="E31" s="2087"/>
      <c r="F31" s="2088"/>
      <c r="G31" s="2087"/>
      <c r="H31" s="2087"/>
      <c r="I31" s="2087"/>
      <c r="J31" s="2089"/>
      <c r="K31" s="1118"/>
      <c r="L31" s="3351" t="s">
        <v>1993</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2" t="s">
        <v>1996</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t="e">
        <f>ROUND(C5*C22*C23*C24*C25*C28,0)</f>
        <v>#DIV/0!</v>
      </c>
      <c r="D33" s="2097"/>
      <c r="E33" s="772" t="e">
        <f>ROUND(C33*D33/10000,0)</f>
        <v>#DIV/0!</v>
      </c>
      <c r="F33" s="3344" t="s">
        <v>3254</v>
      </c>
      <c r="G33" s="2098"/>
      <c r="H33" s="2098"/>
      <c r="I33" s="2098"/>
      <c r="J33" s="2099"/>
      <c r="K33" s="1118"/>
      <c r="L33" s="3347" t="s">
        <v>3257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t="e">
        <f>ROUND(IF(B25="楼层修正",SUM(V2:V16)*M40,C34*D34/10000),0)</f>
        <v>#DIV/0!</v>
      </c>
      <c r="F34" s="2103" t="s">
        <v>2029</v>
      </c>
      <c r="G34" s="2104"/>
      <c r="H34" s="2104"/>
      <c r="I34" s="2104"/>
      <c r="J34" s="2105"/>
      <c r="K34" s="1118"/>
      <c r="L34" s="3347" t="s">
        <v>3258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5" t="s">
        <v>3255</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5" t="s">
        <v>3259</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05"/>
      <c r="B37" s="2112" t="s">
        <v>2033</v>
      </c>
      <c r="C37" s="175" t="e">
        <f>ROUND(D5*C22*C23*C24*C28*F37,0)</f>
        <v>#DIV/0!</v>
      </c>
      <c r="D37" s="2097"/>
      <c r="E37" s="171" t="e">
        <f>ROUND(C37*D37/10000,0)</f>
        <v>#DIV/0!</v>
      </c>
      <c r="F37" s="171">
        <f>SUMIF(修正!A59:A70,G2,修正!B59:B70)</f>
        <v>0</v>
      </c>
      <c r="G37" s="171" t="e">
        <f>ROUND(IF(E2="工业",C37*$M$42,C37*$M$41),0)</f>
        <v>#DIV/0!</v>
      </c>
      <c r="H37" s="171">
        <f>D37</f>
        <v>0</v>
      </c>
      <c r="I37" s="171" t="e">
        <f>ROUND(G37*H37/10000,0)</f>
        <v>#DIV/0!</v>
      </c>
      <c r="J37" s="3010"/>
      <c r="K37" s="3357" t="s">
        <v>3260</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06"/>
      <c r="B38" s="2040" t="s">
        <v>2034</v>
      </c>
      <c r="C38" s="175" t="e">
        <f>ROUND(D5*C22*C23*C24*C28*F38,0)</f>
        <v>#DIV/0!</v>
      </c>
      <c r="D38" s="2097"/>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806"/>
      <c r="B39" s="2040" t="s">
        <v>3253</v>
      </c>
      <c r="C39" s="175" t="e">
        <f>ROUND(D5*C22*C23*C24*C28*F39,0)</f>
        <v>#DIV/0!</v>
      </c>
      <c r="D39" s="2097"/>
      <c r="E39" s="171" t="e">
        <f t="shared" si="4"/>
        <v>#DIV/0!</v>
      </c>
      <c r="F39" s="171">
        <f>SUMIF(修正!A59:A70,G2,修正!D59:D70)</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t="e">
        <f>ROUND(D5*C22*C23*C24*C28*F40,0)</f>
        <v>#DIV/0!</v>
      </c>
      <c r="D40" s="2097"/>
      <c r="E40" s="171" t="e">
        <f t="shared" si="4"/>
        <v>#DIV/0!</v>
      </c>
      <c r="F40" s="175">
        <f>SUMIF(修正!A59:A70,G2,修正!E59:E70)</f>
        <v>0</v>
      </c>
      <c r="G40" s="171" t="e">
        <f>ROUND(IF(E2="工业",C40*$M$42,C40*$M$41),0)</f>
        <v>#DIV/0!</v>
      </c>
      <c r="H40" s="171">
        <f t="shared" si="5"/>
        <v>0</v>
      </c>
      <c r="I40" s="171" t="e">
        <f t="shared" si="6"/>
        <v>#DIV/0!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t="e">
        <f>ROUND(D5*C22*C23*C44*C28*F41,0)</f>
        <v>#DIV/0!</v>
      </c>
      <c r="D41" s="2097"/>
      <c r="E41" s="171" t="e">
        <f t="shared" si="4"/>
        <v>#DIV/0!</v>
      </c>
      <c r="F41" s="175">
        <f>SUMIF(修正!A59:A70,G2,修正!F59:F70)</f>
        <v>0</v>
      </c>
      <c r="G41" s="171" t="e">
        <f>ROUND(IF(E2="工业",C41*$M$42,C41*$M$41),0)</f>
        <v>#DIV/0!</v>
      </c>
      <c r="H41" s="171">
        <f t="shared" si="5"/>
        <v>0</v>
      </c>
      <c r="I41" s="171" t="e">
        <f t="shared" si="6"/>
        <v>#DIV/0!</v>
      </c>
      <c r="J41" s="2113"/>
      <c r="L41" s="3358" t="s">
        <v>3261</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t="e">
        <f>ROUND(D5*C22*C23*C44*C28*F42,0)</f>
        <v>#DIV/0!</v>
      </c>
      <c r="D42" s="2102"/>
      <c r="E42" s="187" t="e">
        <f t="shared" si="4"/>
        <v>#DIV/0!</v>
      </c>
      <c r="F42" s="766">
        <f>SUMIF(修正!A59:A70,G2,修正!G59:G70)</f>
        <v>0</v>
      </c>
      <c r="G42" s="187" t="e">
        <f>ROUND(IF(E2="工业",C42*$M$42,C42*$M$41),0)</f>
        <v>#DIV/0!</v>
      </c>
      <c r="H42" s="187">
        <f t="shared" si="5"/>
        <v>0</v>
      </c>
      <c r="I42" s="187" t="e">
        <f t="shared" si="6"/>
        <v>#DIV/0!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2118</v>
      </c>
      <c r="C44" s="342" t="e">
        <f>ROUND(POWER(1+E44,H44-G44)*(POWER(1+E44,G44)-1)/(POWER(1+E44,H44)-1),4)</f>
        <v>#DIV/0!</v>
      </c>
      <c r="D44" s="171" t="s">
        <v>1996</v>
      </c>
      <c r="E44" s="2152">
        <f>G24</f>
        <v>0</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1718</v>
      </c>
      <c r="K49" s="552" t="s">
        <v>1719</v>
      </c>
      <c r="L49" s="552" t="s">
        <v>1720</v>
      </c>
      <c r="M49" s="552" t="s">
        <v>1721</v>
      </c>
      <c r="N49" s="552" t="s">
        <v>1722</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3263</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2051</v>
      </c>
      <c r="B53" s="2134" t="s">
        <v>2052</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2054</v>
      </c>
      <c r="B55" s="2135" t="s">
        <v>2055</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2059</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1718</v>
      </c>
      <c r="K60" s="552" t="s">
        <v>1719</v>
      </c>
      <c r="L60" s="552" t="s">
        <v>1720</v>
      </c>
      <c r="M60" s="552" t="s">
        <v>1721</v>
      </c>
      <c r="N60" s="552" t="s">
        <v>1722</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3263</v>
      </c>
      <c r="B63" s="2133">
        <f>估价对象房地状况!C19</f>
        <v>0</v>
      </c>
      <c r="C63" s="2043"/>
      <c r="D63" s="1064">
        <f t="shared" si="12"/>
        <v>0</v>
      </c>
      <c r="E63" s="744"/>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2051</v>
      </c>
      <c r="B64" s="2134" t="s">
        <v>2052</v>
      </c>
      <c r="C64" s="2043"/>
      <c r="D64" s="1064">
        <f t="shared" si="12"/>
        <v>0</v>
      </c>
      <c r="E64" s="744"/>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c r="D65" s="1064">
        <f t="shared" si="12"/>
        <v>0</v>
      </c>
      <c r="E65" s="744"/>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2054</v>
      </c>
      <c r="B66" s="2135" t="s">
        <v>2055</v>
      </c>
      <c r="C66" s="2043"/>
      <c r="D66" s="1064">
        <f t="shared" si="12"/>
        <v>0</v>
      </c>
      <c r="E66" s="744"/>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c r="D67" s="1064">
        <f t="shared" si="12"/>
        <v>0</v>
      </c>
      <c r="E67" s="744"/>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c r="D68" s="1064">
        <f t="shared" si="12"/>
        <v>0</v>
      </c>
      <c r="E68" s="744"/>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c r="D69" s="1064">
        <f t="shared" si="12"/>
        <v>0</v>
      </c>
      <c r="E69" s="745"/>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1718</v>
      </c>
      <c r="K71" s="552" t="s">
        <v>1719</v>
      </c>
      <c r="L71" s="552" t="s">
        <v>1720</v>
      </c>
      <c r="M71" s="552" t="s">
        <v>1721</v>
      </c>
      <c r="N71" s="552" t="s">
        <v>1722</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7" t="s">
        <v>3263</v>
      </c>
      <c r="B74" s="2133">
        <f>估价对象房地状况!C19</f>
        <v>0</v>
      </c>
      <c r="C74" s="2043"/>
      <c r="D74" s="1064">
        <f t="shared" si="17"/>
        <v>0</v>
      </c>
      <c r="E74" s="746"/>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7"/>
        <v>0</v>
      </c>
      <c r="E75" s="746"/>
      <c r="F75" s="1813"/>
      <c r="G75" s="1062"/>
      <c r="H75" s="1065" t="str">
        <f t="shared" si="18"/>
        <v>——</v>
      </c>
      <c r="I75" s="3365">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7"/>
        <v>0</v>
      </c>
      <c r="E76" s="746"/>
      <c r="F76" s="1813"/>
      <c r="G76" s="1062"/>
      <c r="H76" s="1065" t="str">
        <f t="shared" si="18"/>
        <v>——</v>
      </c>
      <c r="I76" s="3365">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2057</v>
      </c>
      <c r="B77" s="1325" t="str">
        <f>估价对象房地状况!C22</f>
        <v>估价对象所在区域基础设施水平</v>
      </c>
      <c r="C77" s="2043"/>
      <c r="D77" s="1064">
        <f t="shared" si="17"/>
        <v>0</v>
      </c>
      <c r="E77" s="746"/>
      <c r="F77" s="1813"/>
      <c r="G77" s="1062"/>
      <c r="H77" s="1065" t="str">
        <f t="shared" si="18"/>
        <v>——</v>
      </c>
      <c r="I77" s="3365">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2054</v>
      </c>
      <c r="B78" s="2135" t="s">
        <v>2055</v>
      </c>
      <c r="C78" s="2043"/>
      <c r="D78" s="1064">
        <f t="shared" si="17"/>
        <v>0</v>
      </c>
      <c r="E78" s="746"/>
      <c r="F78" s="1813"/>
      <c r="G78" s="1062"/>
      <c r="H78" s="1065" t="str">
        <f t="shared" si="18"/>
        <v>——</v>
      </c>
      <c r="I78" s="3365">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7"/>
        <v>0</v>
      </c>
      <c r="E79" s="746"/>
      <c r="F79" s="1813"/>
      <c r="G79" s="1062"/>
      <c r="H79" s="1065" t="str">
        <f t="shared" si="18"/>
        <v>——</v>
      </c>
      <c r="I79" s="3365">
        <v>0.12</v>
      </c>
      <c r="J79" s="1063">
        <f t="shared" si="19"/>
        <v>0</v>
      </c>
      <c r="K79" s="1063">
        <f t="shared" si="20"/>
        <v>0</v>
      </c>
      <c r="L79" s="1063">
        <v>0</v>
      </c>
      <c r="M79" s="1063">
        <f t="shared" si="21"/>
        <v>0</v>
      </c>
      <c r="N79" s="1063">
        <f t="shared" si="21"/>
        <v>0</v>
      </c>
      <c r="Z79" s="1997"/>
      <c r="AA79" s="2052"/>
      <c r="AG79" s="1120"/>
      <c r="AK79" s="2052"/>
    </row>
    <row r="80" spans="1:37" ht="24.75" thickBot="1">
      <c r="A80" s="2137" t="s">
        <v>2065</v>
      </c>
      <c r="B80" s="2141"/>
      <c r="C80" s="2043"/>
      <c r="D80" s="1064">
        <f t="shared" si="17"/>
        <v>0</v>
      </c>
      <c r="E80" s="747"/>
      <c r="F80" s="1813"/>
      <c r="G80" s="1062"/>
      <c r="H80" s="1065" t="str">
        <f t="shared" si="18"/>
        <v>——</v>
      </c>
      <c r="I80" s="3366">
        <v>0.05</v>
      </c>
      <c r="J80" s="1063">
        <f t="shared" si="19"/>
        <v>0</v>
      </c>
      <c r="K80" s="1063">
        <f t="shared" si="20"/>
        <v>0</v>
      </c>
      <c r="L80" s="1063">
        <v>0</v>
      </c>
      <c r="M80" s="1063">
        <f t="shared" si="21"/>
        <v>0</v>
      </c>
      <c r="N80" s="1063">
        <f t="shared" si="21"/>
        <v>0</v>
      </c>
      <c r="Z80" s="1997"/>
      <c r="AA80" s="2052"/>
      <c r="AG80" s="1120"/>
      <c r="AK80" s="2052"/>
    </row>
    <row r="81" spans="1:37" ht="15">
      <c r="A81" s="2125" t="s">
        <v>2066</v>
      </c>
      <c r="B81" s="2126">
        <f>1+E83</f>
        <v>1</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1718</v>
      </c>
      <c r="K82" s="552" t="s">
        <v>1719</v>
      </c>
      <c r="L82" s="552" t="s">
        <v>1720</v>
      </c>
      <c r="M82" s="552" t="s">
        <v>1721</v>
      </c>
      <c r="N82" s="552" t="s">
        <v>1722</v>
      </c>
      <c r="Z82" s="1997"/>
      <c r="AA82" s="2052"/>
      <c r="AG82" s="1120"/>
      <c r="AK82" s="2052"/>
    </row>
    <row r="83" spans="1:37" ht="38.25">
      <c r="A83" s="2129" t="s">
        <v>2067</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5">
        <v>0.3</v>
      </c>
      <c r="J84" s="1063">
        <f t="shared" si="24"/>
        <v>0</v>
      </c>
      <c r="K84" s="1063">
        <f t="shared" si="25"/>
        <v>0</v>
      </c>
      <c r="L84" s="1063">
        <v>0</v>
      </c>
      <c r="M84" s="1063">
        <f t="shared" si="26"/>
        <v>0</v>
      </c>
      <c r="N84" s="1063">
        <f t="shared" si="26"/>
        <v>0</v>
      </c>
      <c r="Z84" s="1997"/>
      <c r="AA84" s="2052"/>
      <c r="AG84" s="1120"/>
      <c r="AK84" s="2052"/>
    </row>
    <row r="85" spans="1:37" ht="36">
      <c r="A85" s="3367" t="s">
        <v>3264</v>
      </c>
      <c r="B85" s="2133">
        <f>估价对象房地状况!G17</f>
        <v>0</v>
      </c>
      <c r="C85" s="2043"/>
      <c r="D85" s="1064">
        <f t="shared" si="22"/>
        <v>0</v>
      </c>
      <c r="E85" s="746"/>
      <c r="F85" s="1813"/>
      <c r="G85" s="1062"/>
      <c r="H85" s="1065" t="str">
        <f t="shared" si="23"/>
        <v>——</v>
      </c>
      <c r="I85" s="3365">
        <v>0.1</v>
      </c>
      <c r="J85" s="1063">
        <f t="shared" si="24"/>
        <v>0</v>
      </c>
      <c r="K85" s="1063">
        <f t="shared" si="25"/>
        <v>0</v>
      </c>
      <c r="L85" s="1063">
        <v>0</v>
      </c>
      <c r="M85" s="1063">
        <f t="shared" si="26"/>
        <v>0</v>
      </c>
      <c r="N85" s="1063">
        <f t="shared" si="26"/>
        <v>0</v>
      </c>
      <c r="Z85" s="1997"/>
      <c r="AA85" s="2052"/>
      <c r="AG85" s="1120"/>
      <c r="AK85" s="2052"/>
    </row>
    <row r="86" spans="1:37" ht="14.25">
      <c r="A86" s="2129" t="s">
        <v>2064</v>
      </c>
      <c r="B86" s="2133">
        <f>估价对象房地状况!G22</f>
        <v>0</v>
      </c>
      <c r="C86" s="2043"/>
      <c r="D86" s="1064">
        <f t="shared" si="22"/>
        <v>0</v>
      </c>
      <c r="E86" s="746"/>
      <c r="F86" s="1813"/>
      <c r="G86" s="1062"/>
      <c r="H86" s="1065" t="str">
        <f t="shared" si="23"/>
        <v>——</v>
      </c>
      <c r="I86" s="3365">
        <v>0.05</v>
      </c>
      <c r="J86" s="1063">
        <f t="shared" si="24"/>
        <v>0</v>
      </c>
      <c r="K86" s="1063">
        <f t="shared" si="25"/>
        <v>0</v>
      </c>
      <c r="L86" s="1063">
        <v>0</v>
      </c>
      <c r="M86" s="1063">
        <f t="shared" si="26"/>
        <v>0</v>
      </c>
      <c r="N86" s="1063">
        <f t="shared" si="26"/>
        <v>0</v>
      </c>
      <c r="Z86" s="1997"/>
      <c r="AA86" s="2052"/>
      <c r="AG86" s="1120"/>
      <c r="AK86" s="2052"/>
    </row>
    <row r="87" spans="1:37" ht="25.5">
      <c r="A87" s="2129" t="s">
        <v>2056</v>
      </c>
      <c r="B87" s="1325" t="str">
        <f>估价对象房地状况!G19</f>
        <v>估价对象所在区域公共配套设施齐备情况</v>
      </c>
      <c r="C87" s="2043"/>
      <c r="D87" s="1064">
        <f t="shared" si="22"/>
        <v>0</v>
      </c>
      <c r="E87" s="746"/>
      <c r="F87" s="1813"/>
      <c r="G87" s="1062"/>
      <c r="H87" s="1065" t="str">
        <f t="shared" si="23"/>
        <v>——</v>
      </c>
      <c r="I87" s="3365">
        <v>0.06</v>
      </c>
      <c r="J87" s="1063">
        <f t="shared" si="24"/>
        <v>0</v>
      </c>
      <c r="K87" s="1063">
        <f t="shared" si="25"/>
        <v>0</v>
      </c>
      <c r="L87" s="1063">
        <v>0</v>
      </c>
      <c r="M87" s="1063">
        <f t="shared" si="26"/>
        <v>0</v>
      </c>
      <c r="N87" s="1063">
        <f t="shared" si="26"/>
        <v>0</v>
      </c>
    </row>
    <row r="88" spans="1:37" ht="25.5">
      <c r="A88" s="2129" t="s">
        <v>2057</v>
      </c>
      <c r="B88" s="1325" t="str">
        <f>估价对象房地状况!G20</f>
        <v>估价对象所在区域基础设施水平</v>
      </c>
      <c r="C88" s="2043"/>
      <c r="D88" s="1064">
        <f t="shared" si="22"/>
        <v>0</v>
      </c>
      <c r="E88" s="746"/>
      <c r="F88" s="1813"/>
      <c r="G88" s="1062"/>
      <c r="H88" s="1065" t="str">
        <f t="shared" si="23"/>
        <v>——</v>
      </c>
      <c r="I88" s="3365">
        <v>0.12</v>
      </c>
      <c r="J88" s="1063">
        <f t="shared" si="24"/>
        <v>0</v>
      </c>
      <c r="K88" s="1063">
        <f t="shared" si="25"/>
        <v>0</v>
      </c>
      <c r="L88" s="1063">
        <v>0</v>
      </c>
      <c r="M88" s="1063">
        <f t="shared" si="26"/>
        <v>0</v>
      </c>
      <c r="N88" s="1063">
        <f t="shared" si="26"/>
        <v>0</v>
      </c>
    </row>
    <row r="89" spans="1:37" ht="24">
      <c r="A89" s="2129" t="s">
        <v>2054</v>
      </c>
      <c r="B89" s="2135" t="s">
        <v>2068</v>
      </c>
      <c r="C89" s="2043"/>
      <c r="D89" s="1064">
        <f t="shared" si="22"/>
        <v>0</v>
      </c>
      <c r="E89" s="746"/>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7" t="s">
        <v>2069</v>
      </c>
      <c r="B90" s="2142" t="str">
        <f>估价对象房地状况!G18</f>
        <v>该园区内是否有污染型企业，绿化情况，卫生条件，整体环境状况判断</v>
      </c>
      <c r="C90" s="2043"/>
      <c r="D90" s="1064">
        <f t="shared" si="22"/>
        <v>0</v>
      </c>
      <c r="E90" s="747"/>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2608</v>
      </c>
      <c r="B91" s="3376">
        <f>1+E93</f>
        <v>1</v>
      </c>
      <c r="C91" s="3369"/>
      <c r="D91" s="3370"/>
      <c r="E91" s="1813"/>
      <c r="F91" s="1813"/>
      <c r="G91" s="3371"/>
      <c r="H91" s="3372"/>
      <c r="I91" s="3373"/>
      <c r="J91" s="3374"/>
      <c r="K91" s="3374"/>
      <c r="L91" s="3374"/>
      <c r="M91" s="3374"/>
      <c r="N91" s="3374"/>
    </row>
    <row r="92" spans="1:37" ht="24.75">
      <c r="A92" s="3377" t="s">
        <v>3265</v>
      </c>
      <c r="B92" s="3364"/>
      <c r="C92" s="3364" t="s">
        <v>3274</v>
      </c>
      <c r="D92" s="3364" t="s">
        <v>3275</v>
      </c>
      <c r="E92" s="3346" t="s">
        <v>3276</v>
      </c>
      <c r="F92" s="3379" t="s">
        <v>3277</v>
      </c>
      <c r="G92" s="3364" t="s">
        <v>3278</v>
      </c>
      <c r="H92" s="3386" t="s">
        <v>3281</v>
      </c>
      <c r="I92" s="3364" t="s">
        <v>3282</v>
      </c>
      <c r="J92" s="3387" t="s">
        <v>3283</v>
      </c>
      <c r="K92" s="3387" t="s">
        <v>3284</v>
      </c>
      <c r="L92" s="3387" t="s">
        <v>3285</v>
      </c>
      <c r="M92" s="3387" t="s">
        <v>3286</v>
      </c>
      <c r="N92" s="3387" t="s">
        <v>3287</v>
      </c>
    </row>
    <row r="93" spans="1:37" ht="24">
      <c r="A93" s="3367" t="s">
        <v>3266</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3267</v>
      </c>
      <c r="B94" s="3368" t="str">
        <f>估价对象房地状况!C18</f>
        <v>估价对象周边道路状况、公共交通通达情况、停车便捷程度，综合评价交通便捷度较好</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3263</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3268</v>
      </c>
      <c r="B96" s="3383" t="s">
        <v>3279</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3269</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3270</v>
      </c>
      <c r="B98" s="3384" t="s">
        <v>3280</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5.5">
      <c r="A99" s="3377" t="s">
        <v>3271</v>
      </c>
      <c r="B99" s="3368" t="str">
        <f>估价对象房地状况!C21</f>
        <v>估价对象所在区域公共配套设施齐备情况</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3272</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3273</v>
      </c>
      <c r="B101" s="3385" t="str">
        <f>估价对象房地状况!C20</f>
        <v>区域自然环境：；人文环境；综合评价环境状况一般</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03" t="s">
        <v>3288</v>
      </c>
      <c r="B103" s="3803"/>
      <c r="C103" s="3803"/>
      <c r="D103" s="3803"/>
      <c r="E103" s="3803"/>
      <c r="F103" s="3803"/>
      <c r="G103" s="3803"/>
      <c r="H103" s="3803"/>
      <c r="I103" s="3803"/>
      <c r="J103" s="3803"/>
      <c r="K103" s="3388"/>
      <c r="L103" s="3388"/>
      <c r="M103" s="3388"/>
      <c r="N103" s="3388"/>
    </row>
    <row r="104" spans="1:14">
      <c r="A104" s="3804" t="s">
        <v>3289</v>
      </c>
      <c r="B104" s="3804" t="s">
        <v>3290</v>
      </c>
      <c r="C104" s="3389" t="s">
        <v>3291</v>
      </c>
      <c r="D104" s="3390"/>
      <c r="E104" s="3390"/>
      <c r="F104" s="3390"/>
      <c r="G104" s="3390"/>
      <c r="H104" s="3390"/>
      <c r="I104" s="3390"/>
      <c r="J104" s="3391"/>
      <c r="K104" s="3392"/>
      <c r="L104" s="3392"/>
      <c r="M104" s="3392"/>
      <c r="N104" s="3392"/>
    </row>
    <row r="105" spans="1:14">
      <c r="A105" s="3804"/>
      <c r="B105" s="3804"/>
      <c r="C105" s="3393" t="s">
        <v>3292</v>
      </c>
      <c r="D105" s="3393" t="s">
        <v>3293</v>
      </c>
      <c r="E105" s="3393" t="s">
        <v>3294</v>
      </c>
      <c r="F105" s="3393" t="s">
        <v>3295</v>
      </c>
      <c r="G105" s="3393" t="s">
        <v>3296</v>
      </c>
      <c r="H105" s="3393" t="s">
        <v>3297</v>
      </c>
      <c r="I105" s="3393" t="s">
        <v>3298</v>
      </c>
      <c r="J105" s="3393" t="s">
        <v>3299</v>
      </c>
      <c r="K105" s="3393" t="s">
        <v>3300</v>
      </c>
      <c r="L105" s="3393" t="s">
        <v>3301</v>
      </c>
      <c r="M105" s="3393" t="s">
        <v>3302</v>
      </c>
      <c r="N105" s="3393" t="s">
        <v>3303</v>
      </c>
    </row>
    <row r="106" spans="1:14">
      <c r="A106" s="3790" t="s">
        <v>3304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1"/>
      <c r="B111" s="3393" t="s">
        <v>3262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9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93" t="s">
        <v>3305</v>
      </c>
      <c r="B113" s="3793"/>
      <c r="C113" s="3793"/>
      <c r="D113" s="3793"/>
      <c r="E113" s="3793"/>
      <c r="F113" s="3793"/>
      <c r="G113" s="3793"/>
      <c r="H113" s="3793"/>
      <c r="I113" s="3793"/>
      <c r="J113" s="379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3306</v>
      </c>
      <c r="B116" s="3414">
        <f>G3</f>
        <v>0</v>
      </c>
      <c r="C116" s="3398" t="s">
        <v>3307</v>
      </c>
      <c r="D116" s="3399">
        <f>SUMPRODUCT((A118:A122=F116)*(B117:M117=H116)*B118:M122)</f>
        <v>0</v>
      </c>
      <c r="E116" s="1999" t="s">
        <v>3308</v>
      </c>
      <c r="F116" s="3400">
        <f>E2</f>
        <v>0</v>
      </c>
      <c r="G116" s="1999" t="s">
        <v>3309</v>
      </c>
      <c r="H116" s="3400">
        <f>G2</f>
        <v>0</v>
      </c>
      <c r="I116" s="1999"/>
      <c r="J116" s="3401"/>
      <c r="K116" s="3401"/>
      <c r="L116" s="3401"/>
      <c r="M116" s="3401"/>
      <c r="N116" s="3396"/>
    </row>
    <row r="117" spans="1:14">
      <c r="A117" s="3402"/>
      <c r="B117" s="3403" t="s">
        <v>3310</v>
      </c>
      <c r="C117" s="3403" t="s">
        <v>3311</v>
      </c>
      <c r="D117" s="3403" t="s">
        <v>3312</v>
      </c>
      <c r="E117" s="3404" t="s">
        <v>3313</v>
      </c>
      <c r="F117" s="3404" t="s">
        <v>3314</v>
      </c>
      <c r="G117" s="3404" t="s">
        <v>3315</v>
      </c>
      <c r="H117" s="3405" t="s">
        <v>3316</v>
      </c>
      <c r="I117" s="3405" t="s">
        <v>3317</v>
      </c>
      <c r="J117" s="3406" t="s">
        <v>3318</v>
      </c>
      <c r="K117" s="3406" t="s">
        <v>3319</v>
      </c>
      <c r="L117" s="3406" t="s">
        <v>3320</v>
      </c>
      <c r="M117" s="3407" t="s">
        <v>3321</v>
      </c>
      <c r="N117" s="3396"/>
    </row>
    <row r="118" spans="1:14">
      <c r="A118" s="3408" t="s">
        <v>3322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2608</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2590</v>
      </c>
      <c r="B1" s="3070" t="s">
        <v>2591</v>
      </c>
      <c r="C1" s="3070" t="s">
        <v>2592</v>
      </c>
      <c r="D1" s="3070" t="s">
        <v>2593</v>
      </c>
      <c r="E1" s="3070" t="s">
        <v>2594</v>
      </c>
      <c r="F1" s="3070" t="s">
        <v>2595</v>
      </c>
      <c r="G1" s="3070" t="s">
        <v>2596</v>
      </c>
      <c r="H1" s="3070" t="s">
        <v>2597</v>
      </c>
      <c r="I1" s="3070" t="s">
        <v>2598</v>
      </c>
      <c r="J1" s="3070" t="s">
        <v>2599</v>
      </c>
      <c r="K1" s="3070" t="s">
        <v>2600</v>
      </c>
      <c r="L1" s="3070" t="s">
        <v>2601</v>
      </c>
      <c r="M1" s="3071" t="s">
        <v>2602</v>
      </c>
    </row>
    <row r="2" spans="1:13" ht="19.5" customHeight="1">
      <c r="A2" s="3073" t="s">
        <v>2603</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2604</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2605</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2606</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2607</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2608</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2609</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2610</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2611</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2612</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2613</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2614</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2615</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2616</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2617</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2618</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2619</v>
      </c>
      <c r="B18" s="3095"/>
      <c r="C18" s="3096"/>
      <c r="D18" s="3096"/>
      <c r="E18" s="3095"/>
      <c r="F18" s="3096"/>
      <c r="G18" s="3096"/>
    </row>
    <row r="19" spans="1:13" ht="19.5" customHeight="1" thickBot="1">
      <c r="A19" s="3093" t="s">
        <v>2620</v>
      </c>
      <c r="B19" s="3098" t="s">
        <v>2621</v>
      </c>
      <c r="C19" s="3098" t="s">
        <v>2622</v>
      </c>
      <c r="D19" s="3099"/>
      <c r="E19" s="3093" t="s">
        <v>2623</v>
      </c>
      <c r="F19" s="3100"/>
      <c r="G19" s="3100"/>
    </row>
    <row r="20" spans="1:13" ht="19.5" customHeight="1">
      <c r="A20" s="3819" t="s">
        <v>2603</v>
      </c>
      <c r="B20" s="3809" t="s">
        <v>2624</v>
      </c>
      <c r="C20" s="3475" t="s">
        <v>2435</v>
      </c>
      <c r="D20" s="3475"/>
      <c r="E20" s="3103">
        <v>1</v>
      </c>
      <c r="F20" s="3104" t="s">
        <v>2436</v>
      </c>
      <c r="G20" s="3104"/>
    </row>
    <row r="21" spans="1:13" ht="19.5" customHeight="1">
      <c r="A21" s="3820"/>
      <c r="B21" s="3810"/>
      <c r="C21" s="3465" t="s">
        <v>2437</v>
      </c>
      <c r="D21" s="3465"/>
      <c r="E21" s="3107">
        <v>1</v>
      </c>
      <c r="F21" s="3104" t="s">
        <v>2438</v>
      </c>
      <c r="G21" s="3104"/>
    </row>
    <row r="22" spans="1:13" ht="19.5" customHeight="1">
      <c r="A22" s="3820"/>
      <c r="B22" s="3810"/>
      <c r="C22" s="3465" t="s">
        <v>2439</v>
      </c>
      <c r="D22" s="3465"/>
      <c r="E22" s="3107">
        <v>0.9</v>
      </c>
      <c r="F22" s="3104" t="s">
        <v>2440</v>
      </c>
      <c r="G22" s="3104"/>
    </row>
    <row r="23" spans="1:13" ht="19.5" customHeight="1">
      <c r="A23" s="3820"/>
      <c r="B23" s="3810"/>
      <c r="C23" s="3465" t="s">
        <v>2441</v>
      </c>
      <c r="D23" s="3465"/>
      <c r="E23" s="3107">
        <v>0.9</v>
      </c>
      <c r="F23" s="3104" t="s">
        <v>2442</v>
      </c>
      <c r="G23" s="3104"/>
    </row>
    <row r="24" spans="1:13" ht="19.5" customHeight="1">
      <c r="A24" s="3820"/>
      <c r="B24" s="3810"/>
      <c r="C24" s="3465" t="s">
        <v>2443</v>
      </c>
      <c r="D24" s="3465"/>
      <c r="E24" s="3107">
        <v>0.8</v>
      </c>
      <c r="F24" s="3104" t="s">
        <v>2444</v>
      </c>
      <c r="G24" s="3104"/>
    </row>
    <row r="25" spans="1:13" ht="19.5" customHeight="1">
      <c r="A25" s="3820"/>
      <c r="B25" s="3810"/>
      <c r="C25" s="3465" t="s">
        <v>2445</v>
      </c>
      <c r="D25" s="3465"/>
      <c r="E25" s="3107">
        <v>0.8</v>
      </c>
      <c r="F25" s="3104"/>
      <c r="G25" s="3104"/>
    </row>
    <row r="26" spans="1:13" ht="19.5" customHeight="1">
      <c r="A26" s="3820"/>
      <c r="B26" s="3810"/>
      <c r="C26" s="3468" t="s">
        <v>3406</v>
      </c>
      <c r="D26" s="3468"/>
      <c r="E26" s="3469">
        <v>0.43</v>
      </c>
      <c r="F26" s="3104"/>
      <c r="G26" s="3104"/>
    </row>
    <row r="27" spans="1:13" ht="19.5" customHeight="1" thickBot="1">
      <c r="A27" s="3821"/>
      <c r="B27" s="3811"/>
      <c r="C27" s="3470" t="s">
        <v>3407</v>
      </c>
      <c r="D27" s="3470"/>
      <c r="E27" s="3471">
        <f>E26*0.9</f>
        <v>0.38700000000000001</v>
      </c>
      <c r="F27" s="3104" t="s">
        <v>2446</v>
      </c>
      <c r="G27" s="3104"/>
    </row>
    <row r="28" spans="1:13" ht="19.5" customHeight="1" thickBot="1">
      <c r="A28" s="3467" t="s">
        <v>2625</v>
      </c>
      <c r="B28" s="3466" t="s">
        <v>2624</v>
      </c>
      <c r="C28" s="3472" t="s">
        <v>2626</v>
      </c>
      <c r="D28" s="3473"/>
      <c r="E28" s="3474">
        <v>1</v>
      </c>
      <c r="F28" s="3104" t="s">
        <v>2447</v>
      </c>
      <c r="G28" s="3104"/>
    </row>
    <row r="29" spans="1:13" ht="19.5" customHeight="1">
      <c r="A29" s="3812" t="s">
        <v>2627</v>
      </c>
      <c r="B29" s="3815" t="s">
        <v>2608</v>
      </c>
      <c r="C29" s="3101" t="s">
        <v>2448</v>
      </c>
      <c r="D29" s="3102"/>
      <c r="E29" s="3103">
        <v>1</v>
      </c>
      <c r="F29" s="3104" t="s">
        <v>2449</v>
      </c>
      <c r="G29" s="3104"/>
    </row>
    <row r="30" spans="1:13" ht="19.5" customHeight="1">
      <c r="A30" s="3813"/>
      <c r="B30" s="3816"/>
      <c r="C30" s="3105" t="s">
        <v>2450</v>
      </c>
      <c r="D30" s="3106"/>
      <c r="E30" s="3107">
        <v>1</v>
      </c>
      <c r="F30" s="3104" t="s">
        <v>2451</v>
      </c>
      <c r="G30" s="3104"/>
    </row>
    <row r="31" spans="1:13" ht="19.5" customHeight="1">
      <c r="A31" s="3813"/>
      <c r="B31" s="3816"/>
      <c r="C31" s="3105" t="s">
        <v>2452</v>
      </c>
      <c r="D31" s="3106"/>
      <c r="E31" s="3107">
        <v>0.8</v>
      </c>
      <c r="F31" s="3104" t="s">
        <v>2453</v>
      </c>
      <c r="G31" s="3104"/>
    </row>
    <row r="32" spans="1:13" ht="19.5" customHeight="1">
      <c r="A32" s="3813"/>
      <c r="B32" s="3816"/>
      <c r="C32" s="3105" t="s">
        <v>2454</v>
      </c>
      <c r="D32" s="3106"/>
      <c r="E32" s="3107">
        <v>0.8</v>
      </c>
      <c r="F32" s="3104" t="s">
        <v>2455</v>
      </c>
      <c r="G32" s="3104"/>
    </row>
    <row r="33" spans="1:7" ht="19.5" customHeight="1">
      <c r="A33" s="3813"/>
      <c r="B33" s="3816"/>
      <c r="C33" s="3105" t="s">
        <v>2456</v>
      </c>
      <c r="D33" s="3106"/>
      <c r="E33" s="3107">
        <v>0.8</v>
      </c>
      <c r="F33" s="3104" t="s">
        <v>2457</v>
      </c>
      <c r="G33" s="3104"/>
    </row>
    <row r="34" spans="1:7" ht="19.5" customHeight="1">
      <c r="A34" s="3813"/>
      <c r="B34" s="3816"/>
      <c r="C34" s="3105" t="s">
        <v>2458</v>
      </c>
      <c r="D34" s="3106"/>
      <c r="E34" s="3107">
        <v>0.7</v>
      </c>
      <c r="F34" s="3104" t="s">
        <v>2459</v>
      </c>
      <c r="G34" s="3104"/>
    </row>
    <row r="35" spans="1:7" ht="19.5" customHeight="1">
      <c r="A35" s="3813"/>
      <c r="B35" s="3816"/>
      <c r="C35" s="3105" t="s">
        <v>2460</v>
      </c>
      <c r="D35" s="3106"/>
      <c r="E35" s="3107">
        <v>0.8</v>
      </c>
      <c r="F35" s="3104" t="s">
        <v>2461</v>
      </c>
      <c r="G35" s="3104"/>
    </row>
    <row r="36" spans="1:7" ht="19.5" customHeight="1">
      <c r="A36" s="3813"/>
      <c r="B36" s="3816"/>
      <c r="C36" s="3105" t="s">
        <v>2462</v>
      </c>
      <c r="D36" s="3106"/>
      <c r="E36" s="3107">
        <v>0.6</v>
      </c>
      <c r="F36" s="3104" t="s">
        <v>2463</v>
      </c>
      <c r="G36" s="3104"/>
    </row>
    <row r="37" spans="1:7" ht="19.5" customHeight="1">
      <c r="A37" s="3813"/>
      <c r="B37" s="3816"/>
      <c r="C37" s="3105" t="s">
        <v>2464</v>
      </c>
      <c r="D37" s="3106"/>
      <c r="E37" s="3107">
        <v>0.2</v>
      </c>
      <c r="F37" s="3104" t="s">
        <v>2465</v>
      </c>
      <c r="G37" s="3104"/>
    </row>
    <row r="38" spans="1:7" ht="19.5" customHeight="1">
      <c r="A38" s="3813"/>
      <c r="B38" s="3816"/>
      <c r="C38" s="3105" t="s">
        <v>2466</v>
      </c>
      <c r="D38" s="3106"/>
      <c r="E38" s="3107">
        <v>0.2</v>
      </c>
      <c r="F38" s="3104" t="s">
        <v>2467</v>
      </c>
      <c r="G38" s="3104"/>
    </row>
    <row r="39" spans="1:7" ht="19.5" customHeight="1">
      <c r="A39" s="3813"/>
      <c r="B39" s="3817" t="s">
        <v>2628</v>
      </c>
      <c r="C39" s="3105" t="s">
        <v>2468</v>
      </c>
      <c r="D39" s="3106"/>
      <c r="E39" s="3107">
        <v>0.6</v>
      </c>
      <c r="F39" s="3104" t="s">
        <v>2469</v>
      </c>
      <c r="G39" s="3104"/>
    </row>
    <row r="40" spans="1:7" ht="19.5" customHeight="1">
      <c r="A40" s="3813"/>
      <c r="B40" s="3816"/>
      <c r="C40" s="3105" t="s">
        <v>2470</v>
      </c>
      <c r="D40" s="3106"/>
      <c r="E40" s="3107">
        <v>0.6</v>
      </c>
      <c r="F40" s="3104" t="s">
        <v>2471</v>
      </c>
      <c r="G40" s="3104"/>
    </row>
    <row r="41" spans="1:7" ht="19.5" customHeight="1" thickBot="1">
      <c r="A41" s="3814"/>
      <c r="B41" s="3818"/>
      <c r="C41" s="3108" t="s">
        <v>2472</v>
      </c>
      <c r="D41" s="3109"/>
      <c r="E41" s="3110">
        <v>0.6</v>
      </c>
      <c r="F41" s="3104" t="s">
        <v>2473</v>
      </c>
      <c r="G41" s="3104"/>
    </row>
    <row r="42" spans="1:7" ht="19.5" customHeight="1" thickBot="1">
      <c r="A42" s="3111" t="s">
        <v>2605</v>
      </c>
      <c r="B42" s="3112" t="s">
        <v>2605</v>
      </c>
      <c r="C42" s="3113" t="s">
        <v>2629</v>
      </c>
      <c r="D42" s="3114"/>
      <c r="E42" s="3115">
        <v>1</v>
      </c>
      <c r="F42" s="3104" t="s">
        <v>2474</v>
      </c>
      <c r="G42" s="3104"/>
    </row>
    <row r="43" spans="1:7" ht="19.5" customHeight="1">
      <c r="A43" s="3819" t="s">
        <v>2606</v>
      </c>
      <c r="B43" s="3815" t="s">
        <v>2630</v>
      </c>
      <c r="C43" s="3101" t="s">
        <v>2475</v>
      </c>
      <c r="D43" s="3102"/>
      <c r="E43" s="3103">
        <v>1</v>
      </c>
      <c r="F43" s="3104" t="s">
        <v>2476</v>
      </c>
      <c r="G43" s="3104"/>
    </row>
    <row r="44" spans="1:7" ht="19.5" customHeight="1">
      <c r="A44" s="3820"/>
      <c r="B44" s="3816"/>
      <c r="C44" s="3105" t="s">
        <v>2477</v>
      </c>
      <c r="D44" s="3106"/>
      <c r="E44" s="3107">
        <v>1</v>
      </c>
      <c r="F44" s="3104" t="s">
        <v>2478</v>
      </c>
      <c r="G44" s="3104"/>
    </row>
    <row r="45" spans="1:7" ht="19.5" customHeight="1">
      <c r="A45" s="3820"/>
      <c r="B45" s="3822"/>
      <c r="C45" s="3105" t="s">
        <v>2479</v>
      </c>
      <c r="D45" s="3106"/>
      <c r="E45" s="3107">
        <v>1.5</v>
      </c>
      <c r="F45" s="3104" t="s">
        <v>2480</v>
      </c>
      <c r="G45" s="3104"/>
    </row>
    <row r="46" spans="1:7" ht="19.5" customHeight="1">
      <c r="A46" s="3820"/>
      <c r="B46" s="3116" t="s">
        <v>2631</v>
      </c>
      <c r="C46" s="3105" t="s">
        <v>2632</v>
      </c>
      <c r="D46" s="3106"/>
      <c r="E46" s="3107">
        <v>2</v>
      </c>
      <c r="F46" s="3104" t="s">
        <v>2481</v>
      </c>
      <c r="G46" s="3104"/>
    </row>
    <row r="47" spans="1:7" ht="19.5" customHeight="1">
      <c r="A47" s="3820"/>
      <c r="B47" s="3817" t="s">
        <v>2633</v>
      </c>
      <c r="C47" s="3105" t="s">
        <v>2482</v>
      </c>
      <c r="D47" s="3106"/>
      <c r="E47" s="3107">
        <v>1</v>
      </c>
      <c r="F47" s="3104" t="s">
        <v>2483</v>
      </c>
      <c r="G47" s="3104"/>
    </row>
    <row r="48" spans="1:7" ht="19.5" customHeight="1">
      <c r="A48" s="3820"/>
      <c r="B48" s="3816"/>
      <c r="C48" s="3105" t="s">
        <v>2484</v>
      </c>
      <c r="D48" s="3106"/>
      <c r="E48" s="3107">
        <v>1</v>
      </c>
      <c r="F48" s="3104" t="s">
        <v>2485</v>
      </c>
      <c r="G48" s="3104"/>
    </row>
    <row r="49" spans="1:7" ht="19.5" customHeight="1">
      <c r="A49" s="3820"/>
      <c r="B49" s="3816"/>
      <c r="C49" s="3105" t="s">
        <v>2486</v>
      </c>
      <c r="D49" s="3106"/>
      <c r="E49" s="3107">
        <v>1</v>
      </c>
      <c r="F49" s="3104" t="s">
        <v>2487</v>
      </c>
      <c r="G49" s="3104"/>
    </row>
    <row r="50" spans="1:7" ht="19.5" customHeight="1">
      <c r="A50" s="3820"/>
      <c r="B50" s="3816"/>
      <c r="C50" s="3105" t="s">
        <v>2488</v>
      </c>
      <c r="D50" s="3106"/>
      <c r="E50" s="3107">
        <v>1</v>
      </c>
      <c r="F50" s="3104" t="s">
        <v>2489</v>
      </c>
      <c r="G50" s="3104"/>
    </row>
    <row r="51" spans="1:7" ht="19.5" customHeight="1">
      <c r="A51" s="3820"/>
      <c r="B51" s="3816"/>
      <c r="C51" s="3105" t="s">
        <v>2490</v>
      </c>
      <c r="D51" s="3106"/>
      <c r="E51" s="3107">
        <v>1</v>
      </c>
      <c r="F51" s="3104" t="s">
        <v>2491</v>
      </c>
      <c r="G51" s="3104"/>
    </row>
    <row r="52" spans="1:7" ht="19.5" customHeight="1">
      <c r="A52" s="3820"/>
      <c r="B52" s="3816"/>
      <c r="C52" s="3105" t="s">
        <v>2492</v>
      </c>
      <c r="D52" s="3106"/>
      <c r="E52" s="3107">
        <v>1</v>
      </c>
      <c r="F52" s="3104" t="s">
        <v>2493</v>
      </c>
      <c r="G52" s="3104"/>
    </row>
    <row r="53" spans="1:7" ht="19.5" customHeight="1" thickBot="1">
      <c r="A53" s="3821"/>
      <c r="B53" s="3818"/>
      <c r="C53" s="3108" t="s">
        <v>2494</v>
      </c>
      <c r="D53" s="3109"/>
      <c r="E53" s="3110">
        <v>1</v>
      </c>
      <c r="F53" s="3104" t="s">
        <v>2495</v>
      </c>
      <c r="G53" s="3104"/>
    </row>
    <row r="54" spans="1:7" ht="19.5" customHeight="1">
      <c r="A54" s="3117"/>
      <c r="B54" s="3117"/>
      <c r="C54" s="3117"/>
      <c r="D54" s="3117"/>
      <c r="E54" s="3117"/>
      <c r="F54" s="3117"/>
      <c r="G54" s="3117"/>
    </row>
    <row r="56" spans="1:7" ht="19.5" customHeight="1">
      <c r="A56" s="3118"/>
      <c r="B56" s="3090" t="s">
        <v>2634</v>
      </c>
      <c r="C56" s="3090" t="s">
        <v>2634</v>
      </c>
      <c r="D56" s="3090" t="s">
        <v>2634</v>
      </c>
      <c r="E56" s="3093" t="s">
        <v>2634</v>
      </c>
      <c r="F56" s="3093" t="s">
        <v>2635</v>
      </c>
      <c r="G56" s="3093" t="s">
        <v>2636</v>
      </c>
    </row>
    <row r="57" spans="1:7" ht="19.5" customHeight="1">
      <c r="A57" s="3119"/>
      <c r="B57" s="3093" t="s">
        <v>2603</v>
      </c>
      <c r="C57" s="3093" t="s">
        <v>2603</v>
      </c>
      <c r="D57" s="3093" t="s">
        <v>2603</v>
      </c>
      <c r="E57" s="3090" t="s">
        <v>2604</v>
      </c>
      <c r="F57" s="3090" t="s">
        <v>2606</v>
      </c>
      <c r="G57" s="3090" t="s">
        <v>2637</v>
      </c>
    </row>
    <row r="58" spans="1:7" ht="19.5" customHeight="1">
      <c r="A58" s="3120"/>
      <c r="B58" s="3090">
        <v>1</v>
      </c>
      <c r="C58" s="3090">
        <v>2</v>
      </c>
      <c r="D58" s="3090">
        <v>3</v>
      </c>
      <c r="E58" s="3121" t="s">
        <v>2638</v>
      </c>
      <c r="F58" s="3121" t="s">
        <v>2638</v>
      </c>
      <c r="G58" s="3121" t="s">
        <v>2638</v>
      </c>
    </row>
    <row r="59" spans="1:7" ht="19.5" customHeight="1">
      <c r="A59" s="3122" t="s">
        <v>2591</v>
      </c>
      <c r="B59" s="3090">
        <v>0.7</v>
      </c>
      <c r="C59" s="3090">
        <v>0.4</v>
      </c>
      <c r="D59" s="3090">
        <v>0.3</v>
      </c>
      <c r="E59" s="3121">
        <v>0.3</v>
      </c>
      <c r="F59" s="3090">
        <v>0.3</v>
      </c>
      <c r="G59" s="3090">
        <v>0.2</v>
      </c>
    </row>
    <row r="60" spans="1:7" ht="19.5" customHeight="1">
      <c r="A60" s="3122" t="s">
        <v>2592</v>
      </c>
      <c r="B60" s="3090">
        <v>0.7</v>
      </c>
      <c r="C60" s="3090">
        <v>0.4</v>
      </c>
      <c r="D60" s="3090">
        <v>0.3</v>
      </c>
      <c r="E60" s="3090">
        <v>0.3</v>
      </c>
      <c r="F60" s="3090">
        <v>0.3</v>
      </c>
      <c r="G60" s="3090">
        <v>0.2</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0.6</v>
      </c>
      <c r="C64" s="3090">
        <v>0.3</v>
      </c>
      <c r="D64" s="3090">
        <v>0.25</v>
      </c>
      <c r="E64" s="3090">
        <v>0.25</v>
      </c>
      <c r="F64" s="3090">
        <v>0.25</v>
      </c>
      <c r="G64" s="3090">
        <v>0.15</v>
      </c>
    </row>
    <row r="65" spans="1:7" ht="19.5" customHeight="1">
      <c r="A65" s="3122" t="s">
        <v>2597</v>
      </c>
      <c r="B65" s="3090">
        <v>0.6</v>
      </c>
      <c r="C65" s="3090">
        <v>0.3</v>
      </c>
      <c r="D65" s="3090">
        <v>0.25</v>
      </c>
      <c r="E65" s="3090">
        <v>0.25</v>
      </c>
      <c r="F65" s="3090">
        <v>0.25</v>
      </c>
      <c r="G65" s="3090">
        <v>0.15</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69" spans="1:7" ht="19.5" customHeight="1">
      <c r="A69" s="3122" t="s">
        <v>2601</v>
      </c>
      <c r="B69" s="3090">
        <v>0.5</v>
      </c>
      <c r="C69" s="3090">
        <v>0.2</v>
      </c>
      <c r="D69" s="3090">
        <v>0.2</v>
      </c>
      <c r="E69" s="3090">
        <v>0.2</v>
      </c>
      <c r="F69" s="3090">
        <v>0.2</v>
      </c>
      <c r="G69" s="3090">
        <v>0.1</v>
      </c>
    </row>
    <row r="70" spans="1:7" ht="19.5" customHeight="1">
      <c r="A70" s="3122" t="s">
        <v>2602</v>
      </c>
      <c r="B70" s="3090">
        <v>0.5</v>
      </c>
      <c r="C70" s="3090">
        <v>0.2</v>
      </c>
      <c r="D70" s="3090">
        <v>0.2</v>
      </c>
      <c r="E70" s="3090">
        <v>0.2</v>
      </c>
      <c r="F70" s="3090">
        <v>0.2</v>
      </c>
      <c r="G70" s="3090">
        <v>0.1</v>
      </c>
    </row>
    <row r="72" spans="1:7" ht="19.5" customHeight="1">
      <c r="A72" s="3123"/>
      <c r="B72" s="3124"/>
      <c r="C72" s="3124"/>
      <c r="D72" s="3124" t="s">
        <v>2639</v>
      </c>
      <c r="E72" s="3124"/>
      <c r="F72" s="3124"/>
    </row>
    <row r="73" spans="1:7" ht="19.5" customHeight="1">
      <c r="A73" s="3116" t="s">
        <v>2640</v>
      </c>
      <c r="B73" s="3116" t="s">
        <v>2641</v>
      </c>
      <c r="C73" s="3116" t="s">
        <v>2642</v>
      </c>
      <c r="D73" s="3116" t="s">
        <v>2643</v>
      </c>
      <c r="E73" s="3116" t="s">
        <v>2644</v>
      </c>
      <c r="F73" s="3116" t="s">
        <v>2645</v>
      </c>
    </row>
    <row r="74" spans="1:7" ht="13.5">
      <c r="A74" s="3116"/>
      <c r="B74" s="3116"/>
      <c r="C74" s="3116" t="s">
        <v>2646</v>
      </c>
      <c r="D74" s="3116"/>
      <c r="E74" s="3116" t="s">
        <v>2617</v>
      </c>
      <c r="F74" s="3116" t="s">
        <v>2617</v>
      </c>
    </row>
    <row r="75" spans="1:7" ht="13.5">
      <c r="A75" s="3116">
        <v>1</v>
      </c>
      <c r="B75" s="3817" t="s">
        <v>2647</v>
      </c>
      <c r="C75" s="3090" t="s">
        <v>2648</v>
      </c>
      <c r="D75" s="3090" t="s">
        <v>2649</v>
      </c>
      <c r="E75" s="3116">
        <v>0.2</v>
      </c>
      <c r="F75" s="3116">
        <v>25</v>
      </c>
    </row>
    <row r="76" spans="1:7" ht="24">
      <c r="A76" s="3116">
        <v>2</v>
      </c>
      <c r="B76" s="3816"/>
      <c r="C76" s="3090" t="s">
        <v>2650</v>
      </c>
      <c r="D76" s="3090" t="s">
        <v>2651</v>
      </c>
      <c r="E76" s="3116">
        <v>0.2</v>
      </c>
      <c r="F76" s="3116">
        <v>25</v>
      </c>
    </row>
    <row r="77" spans="1:7" ht="24">
      <c r="A77" s="3116">
        <v>3</v>
      </c>
      <c r="B77" s="3816"/>
      <c r="C77" s="3090" t="s">
        <v>2652</v>
      </c>
      <c r="D77" s="3090" t="s">
        <v>2653</v>
      </c>
      <c r="E77" s="3116">
        <v>0.2</v>
      </c>
      <c r="F77" s="3116">
        <v>25</v>
      </c>
    </row>
    <row r="78" spans="1:7" ht="13.5">
      <c r="A78" s="3116">
        <v>4</v>
      </c>
      <c r="B78" s="3816"/>
      <c r="C78" s="3090" t="s">
        <v>2654</v>
      </c>
      <c r="D78" s="3090" t="s">
        <v>2655</v>
      </c>
      <c r="E78" s="3116">
        <v>0.15</v>
      </c>
      <c r="F78" s="3116">
        <v>20</v>
      </c>
    </row>
    <row r="79" spans="1:7" ht="24">
      <c r="A79" s="3116">
        <v>5</v>
      </c>
      <c r="B79" s="3816"/>
      <c r="C79" s="3090" t="s">
        <v>2656</v>
      </c>
      <c r="D79" s="3090" t="s">
        <v>2657</v>
      </c>
      <c r="E79" s="3116">
        <v>0.15</v>
      </c>
      <c r="F79" s="3116">
        <v>20</v>
      </c>
    </row>
    <row r="80" spans="1:7" ht="24">
      <c r="A80" s="3116">
        <v>6</v>
      </c>
      <c r="B80" s="3816"/>
      <c r="C80" s="3090" t="s">
        <v>2658</v>
      </c>
      <c r="D80" s="3090" t="s">
        <v>2659</v>
      </c>
      <c r="E80" s="3116">
        <v>0.15</v>
      </c>
      <c r="F80" s="3116">
        <v>20</v>
      </c>
    </row>
    <row r="81" spans="1:6" ht="24">
      <c r="A81" s="3116">
        <v>7</v>
      </c>
      <c r="B81" s="3816"/>
      <c r="C81" s="3090" t="s">
        <v>2660</v>
      </c>
      <c r="D81" s="3090" t="s">
        <v>2661</v>
      </c>
      <c r="E81" s="3116">
        <v>0.15</v>
      </c>
      <c r="F81" s="3116">
        <v>20</v>
      </c>
    </row>
    <row r="82" spans="1:6" ht="24">
      <c r="A82" s="3116">
        <v>8</v>
      </c>
      <c r="B82" s="3816"/>
      <c r="C82" s="3090" t="s">
        <v>2662</v>
      </c>
      <c r="D82" s="3090" t="s">
        <v>2663</v>
      </c>
      <c r="E82" s="3116">
        <v>0.1</v>
      </c>
      <c r="F82" s="3116">
        <v>15</v>
      </c>
    </row>
    <row r="83" spans="1:6" ht="24">
      <c r="A83" s="3116">
        <v>9</v>
      </c>
      <c r="B83" s="3816"/>
      <c r="C83" s="3090" t="s">
        <v>2664</v>
      </c>
      <c r="D83" s="3090" t="s">
        <v>2665</v>
      </c>
      <c r="E83" s="3116">
        <v>0.1</v>
      </c>
      <c r="F83" s="3116">
        <v>15</v>
      </c>
    </row>
    <row r="84" spans="1:6" ht="24">
      <c r="A84" s="3116">
        <v>10</v>
      </c>
      <c r="B84" s="3816"/>
      <c r="C84" s="3090" t="s">
        <v>2666</v>
      </c>
      <c r="D84" s="3090" t="s">
        <v>2667</v>
      </c>
      <c r="E84" s="3116">
        <v>0.1</v>
      </c>
      <c r="F84" s="3116">
        <v>15</v>
      </c>
    </row>
    <row r="85" spans="1:6" ht="24">
      <c r="A85" s="3116">
        <v>11</v>
      </c>
      <c r="B85" s="3816"/>
      <c r="C85" s="3090" t="s">
        <v>2668</v>
      </c>
      <c r="D85" s="3090" t="s">
        <v>2669</v>
      </c>
      <c r="E85" s="3116">
        <v>0.1</v>
      </c>
      <c r="F85" s="3116">
        <v>15</v>
      </c>
    </row>
    <row r="86" spans="1:6" ht="24">
      <c r="A86" s="3116">
        <v>12</v>
      </c>
      <c r="B86" s="3816"/>
      <c r="C86" s="3090" t="s">
        <v>2670</v>
      </c>
      <c r="D86" s="3090" t="s">
        <v>2671</v>
      </c>
      <c r="E86" s="3116">
        <v>0.1</v>
      </c>
      <c r="F86" s="3116">
        <v>15</v>
      </c>
    </row>
    <row r="87" spans="1:6" ht="13.5">
      <c r="A87" s="3116">
        <v>13</v>
      </c>
      <c r="B87" s="3816"/>
      <c r="C87" s="3090" t="s">
        <v>2672</v>
      </c>
      <c r="D87" s="3090" t="s">
        <v>2673</v>
      </c>
      <c r="E87" s="3116">
        <v>0.1</v>
      </c>
      <c r="F87" s="3116">
        <v>15</v>
      </c>
    </row>
    <row r="88" spans="1:6" ht="13.5">
      <c r="A88" s="3116">
        <v>14</v>
      </c>
      <c r="B88" s="3816"/>
      <c r="C88" s="3090" t="s">
        <v>2674</v>
      </c>
      <c r="D88" s="3090" t="s">
        <v>2675</v>
      </c>
      <c r="E88" s="3116">
        <v>0.1</v>
      </c>
      <c r="F88" s="3116">
        <v>15</v>
      </c>
    </row>
    <row r="89" spans="1:6" ht="13.5">
      <c r="A89" s="3116">
        <v>15</v>
      </c>
      <c r="B89" s="3816"/>
      <c r="C89" s="3090" t="s">
        <v>2676</v>
      </c>
      <c r="D89" s="3090" t="s">
        <v>2677</v>
      </c>
      <c r="E89" s="3116">
        <v>0.1</v>
      </c>
      <c r="F89" s="3116">
        <v>15</v>
      </c>
    </row>
    <row r="90" spans="1:6" ht="24">
      <c r="A90" s="3116">
        <v>16</v>
      </c>
      <c r="B90" s="3816"/>
      <c r="C90" s="3090" t="s">
        <v>2678</v>
      </c>
      <c r="D90" s="3090" t="s">
        <v>2679</v>
      </c>
      <c r="E90" s="3116">
        <v>0.1</v>
      </c>
      <c r="F90" s="3116">
        <v>15</v>
      </c>
    </row>
    <row r="91" spans="1:6" ht="24">
      <c r="A91" s="3116">
        <v>17</v>
      </c>
      <c r="B91" s="3822"/>
      <c r="C91" s="3090" t="s">
        <v>2680</v>
      </c>
      <c r="D91" s="3090" t="s">
        <v>2681</v>
      </c>
      <c r="E91" s="3116">
        <v>0.1</v>
      </c>
      <c r="F91" s="3116">
        <v>15</v>
      </c>
    </row>
    <row r="92" spans="1:6" ht="13.5">
      <c r="A92" s="3116">
        <v>18</v>
      </c>
      <c r="B92" s="3817" t="s">
        <v>2682</v>
      </c>
      <c r="C92" s="3090" t="s">
        <v>2683</v>
      </c>
      <c r="D92" s="3090" t="s">
        <v>2684</v>
      </c>
      <c r="E92" s="3116">
        <v>0.2</v>
      </c>
      <c r="F92" s="3116">
        <v>25</v>
      </c>
    </row>
    <row r="93" spans="1:6" ht="24">
      <c r="A93" s="3116">
        <v>19</v>
      </c>
      <c r="B93" s="3816"/>
      <c r="C93" s="3090" t="s">
        <v>2685</v>
      </c>
      <c r="D93" s="3090" t="s">
        <v>2686</v>
      </c>
      <c r="E93" s="3116">
        <v>0.2</v>
      </c>
      <c r="F93" s="3116">
        <v>25</v>
      </c>
    </row>
    <row r="94" spans="1:6" ht="13.5">
      <c r="A94" s="3116">
        <v>20</v>
      </c>
      <c r="B94" s="3816"/>
      <c r="C94" s="3090" t="s">
        <v>2687</v>
      </c>
      <c r="D94" s="3090" t="s">
        <v>2688</v>
      </c>
      <c r="E94" s="3116">
        <v>0.15</v>
      </c>
      <c r="F94" s="3116">
        <v>20</v>
      </c>
    </row>
    <row r="95" spans="1:6" ht="13.5">
      <c r="A95" s="3116">
        <v>21</v>
      </c>
      <c r="B95" s="3816"/>
      <c r="C95" s="3090" t="s">
        <v>2689</v>
      </c>
      <c r="D95" s="3090" t="s">
        <v>2690</v>
      </c>
      <c r="E95" s="3116">
        <v>0.15</v>
      </c>
      <c r="F95" s="3116">
        <v>20</v>
      </c>
    </row>
    <row r="96" spans="1:6" ht="13.5">
      <c r="A96" s="3116">
        <v>22</v>
      </c>
      <c r="B96" s="3816"/>
      <c r="C96" s="3090" t="s">
        <v>2691</v>
      </c>
      <c r="D96" s="3090" t="s">
        <v>2692</v>
      </c>
      <c r="E96" s="3116">
        <v>0.15</v>
      </c>
      <c r="F96" s="3116">
        <v>20</v>
      </c>
    </row>
    <row r="97" spans="1:6" ht="36">
      <c r="A97" s="3116">
        <v>23</v>
      </c>
      <c r="B97" s="3816"/>
      <c r="C97" s="3090" t="s">
        <v>2693</v>
      </c>
      <c r="D97" s="3090" t="s">
        <v>2694</v>
      </c>
      <c r="E97" s="3116">
        <v>0.15</v>
      </c>
      <c r="F97" s="3116">
        <v>20</v>
      </c>
    </row>
    <row r="98" spans="1:6" ht="13.5">
      <c r="A98" s="3116">
        <v>24</v>
      </c>
      <c r="B98" s="3816"/>
      <c r="C98" s="3090" t="s">
        <v>2695</v>
      </c>
      <c r="D98" s="3090" t="s">
        <v>2696</v>
      </c>
      <c r="E98" s="3116">
        <v>0.1</v>
      </c>
      <c r="F98" s="3116">
        <v>15</v>
      </c>
    </row>
    <row r="99" spans="1:6" ht="13.5">
      <c r="A99" s="3116">
        <v>25</v>
      </c>
      <c r="B99" s="3816"/>
      <c r="C99" s="3090" t="s">
        <v>2697</v>
      </c>
      <c r="D99" s="3090" t="s">
        <v>2698</v>
      </c>
      <c r="E99" s="3116">
        <v>0.1</v>
      </c>
      <c r="F99" s="3116">
        <v>15</v>
      </c>
    </row>
    <row r="100" spans="1:6" ht="24">
      <c r="A100" s="3116">
        <v>26</v>
      </c>
      <c r="B100" s="3816"/>
      <c r="C100" s="3090" t="s">
        <v>2699</v>
      </c>
      <c r="D100" s="3090" t="s">
        <v>2700</v>
      </c>
      <c r="E100" s="3116">
        <v>0.1</v>
      </c>
      <c r="F100" s="3116">
        <v>15</v>
      </c>
    </row>
    <row r="101" spans="1:6" ht="24">
      <c r="A101" s="3116">
        <v>27</v>
      </c>
      <c r="B101" s="3816"/>
      <c r="C101" s="3090" t="s">
        <v>2701</v>
      </c>
      <c r="D101" s="3090" t="s">
        <v>2702</v>
      </c>
      <c r="E101" s="3116">
        <v>0.1</v>
      </c>
      <c r="F101" s="3116">
        <v>15</v>
      </c>
    </row>
    <row r="102" spans="1:6" ht="13.5">
      <c r="A102" s="3116">
        <v>28</v>
      </c>
      <c r="B102" s="3816"/>
      <c r="C102" s="3090" t="s">
        <v>2703</v>
      </c>
      <c r="D102" s="3090" t="s">
        <v>2704</v>
      </c>
      <c r="E102" s="3116">
        <v>0.1</v>
      </c>
      <c r="F102" s="3116">
        <v>15</v>
      </c>
    </row>
    <row r="103" spans="1:6" ht="13.5">
      <c r="A103" s="3116">
        <v>29</v>
      </c>
      <c r="B103" s="3816"/>
      <c r="C103" s="3090" t="s">
        <v>2705</v>
      </c>
      <c r="D103" s="3090" t="s">
        <v>2706</v>
      </c>
      <c r="E103" s="3116">
        <v>0.1</v>
      </c>
      <c r="F103" s="3116">
        <v>15</v>
      </c>
    </row>
    <row r="104" spans="1:6" ht="13.5">
      <c r="A104" s="3116">
        <v>30</v>
      </c>
      <c r="B104" s="3816"/>
      <c r="C104" s="3090" t="s">
        <v>2707</v>
      </c>
      <c r="D104" s="3090" t="s">
        <v>2708</v>
      </c>
      <c r="E104" s="3116">
        <v>0.1</v>
      </c>
      <c r="F104" s="3116">
        <v>15</v>
      </c>
    </row>
    <row r="105" spans="1:6" ht="24">
      <c r="A105" s="3116">
        <v>31</v>
      </c>
      <c r="B105" s="3816"/>
      <c r="C105" s="3090" t="s">
        <v>2709</v>
      </c>
      <c r="D105" s="3090" t="s">
        <v>2710</v>
      </c>
      <c r="E105" s="3116">
        <v>0.1</v>
      </c>
      <c r="F105" s="3116">
        <v>15</v>
      </c>
    </row>
    <row r="106" spans="1:6" ht="24">
      <c r="A106" s="3116">
        <v>32</v>
      </c>
      <c r="B106" s="3816"/>
      <c r="C106" s="3090" t="s">
        <v>2711</v>
      </c>
      <c r="D106" s="3090" t="s">
        <v>2712</v>
      </c>
      <c r="E106" s="3116">
        <v>0.1</v>
      </c>
      <c r="F106" s="3116">
        <v>15</v>
      </c>
    </row>
    <row r="107" spans="1:6" ht="24">
      <c r="A107" s="3116">
        <v>33</v>
      </c>
      <c r="B107" s="3816"/>
      <c r="C107" s="3090" t="s">
        <v>2713</v>
      </c>
      <c r="D107" s="3090" t="s">
        <v>2714</v>
      </c>
      <c r="E107" s="3116">
        <v>0.1</v>
      </c>
      <c r="F107" s="3116">
        <v>15</v>
      </c>
    </row>
    <row r="108" spans="1:6" ht="24">
      <c r="A108" s="3116">
        <v>34</v>
      </c>
      <c r="B108" s="3822"/>
      <c r="C108" s="3090" t="s">
        <v>2715</v>
      </c>
      <c r="D108" s="3090" t="s">
        <v>2716</v>
      </c>
      <c r="E108" s="3116">
        <v>0.1</v>
      </c>
      <c r="F108" s="3116">
        <v>15</v>
      </c>
    </row>
    <row r="109" spans="1:6" ht="24">
      <c r="A109" s="3116">
        <v>35</v>
      </c>
      <c r="B109" s="3817" t="s">
        <v>2717</v>
      </c>
      <c r="C109" s="3116" t="s">
        <v>2718</v>
      </c>
      <c r="D109" s="3090" t="s">
        <v>2719</v>
      </c>
      <c r="E109" s="3116">
        <v>0.15</v>
      </c>
      <c r="F109" s="3116">
        <v>20</v>
      </c>
    </row>
    <row r="110" spans="1:6" ht="13.5">
      <c r="A110" s="3116">
        <v>36</v>
      </c>
      <c r="B110" s="3816"/>
      <c r="C110" s="3116" t="s">
        <v>2720</v>
      </c>
      <c r="D110" s="3090" t="s">
        <v>2721</v>
      </c>
      <c r="E110" s="3116">
        <v>0.15</v>
      </c>
      <c r="F110" s="3116">
        <v>20</v>
      </c>
    </row>
    <row r="111" spans="1:6" ht="13.5">
      <c r="A111" s="3116">
        <v>37</v>
      </c>
      <c r="B111" s="3816"/>
      <c r="C111" s="3116" t="s">
        <v>2722</v>
      </c>
      <c r="D111" s="3090" t="s">
        <v>2723</v>
      </c>
      <c r="E111" s="3116">
        <v>0.15</v>
      </c>
      <c r="F111" s="3116">
        <v>20</v>
      </c>
    </row>
    <row r="112" spans="1:6" ht="13.5">
      <c r="A112" s="3116">
        <v>38</v>
      </c>
      <c r="B112" s="3816"/>
      <c r="C112" s="3116" t="s">
        <v>2724</v>
      </c>
      <c r="D112" s="3090" t="s">
        <v>2725</v>
      </c>
      <c r="E112" s="3116">
        <v>0.1</v>
      </c>
      <c r="F112" s="3116">
        <v>15</v>
      </c>
    </row>
    <row r="113" spans="1:6" ht="24">
      <c r="A113" s="3116">
        <v>39</v>
      </c>
      <c r="B113" s="3816"/>
      <c r="C113" s="3116" t="s">
        <v>2726</v>
      </c>
      <c r="D113" s="3090" t="s">
        <v>2727</v>
      </c>
      <c r="E113" s="3116">
        <v>0.1</v>
      </c>
      <c r="F113" s="3116">
        <v>15</v>
      </c>
    </row>
    <row r="114" spans="1:6" ht="24">
      <c r="A114" s="3116">
        <v>40</v>
      </c>
      <c r="B114" s="3822"/>
      <c r="C114" s="3116" t="s">
        <v>2728</v>
      </c>
      <c r="D114" s="3090" t="s">
        <v>2729</v>
      </c>
      <c r="E114" s="3116">
        <v>0.1</v>
      </c>
      <c r="F114" s="3116">
        <v>15</v>
      </c>
    </row>
    <row r="115" spans="1:6" ht="13.5">
      <c r="A115" s="3116">
        <v>41</v>
      </c>
      <c r="B115" s="3810" t="s">
        <v>2730</v>
      </c>
      <c r="C115" s="3116" t="s">
        <v>2731</v>
      </c>
      <c r="D115" s="3090" t="s">
        <v>2732</v>
      </c>
      <c r="E115" s="3116">
        <v>0.1</v>
      </c>
      <c r="F115" s="3116">
        <v>15</v>
      </c>
    </row>
    <row r="116" spans="1:6" ht="13.5">
      <c r="A116" s="3116">
        <v>42</v>
      </c>
      <c r="B116" s="3810"/>
      <c r="C116" s="3116" t="s">
        <v>2733</v>
      </c>
      <c r="D116" s="3090" t="s">
        <v>2734</v>
      </c>
      <c r="E116" s="3116">
        <v>0.1</v>
      </c>
      <c r="F116" s="3116">
        <v>15</v>
      </c>
    </row>
    <row r="117" spans="1:6" ht="24">
      <c r="A117" s="3116">
        <v>43</v>
      </c>
      <c r="B117" s="3810"/>
      <c r="C117" s="3116" t="s">
        <v>2735</v>
      </c>
      <c r="D117" s="3090" t="s">
        <v>2736</v>
      </c>
      <c r="E117" s="3116">
        <v>0.1</v>
      </c>
      <c r="F117" s="3116">
        <v>15</v>
      </c>
    </row>
    <row r="118" spans="1:6" ht="13.5">
      <c r="A118" s="3116">
        <v>44</v>
      </c>
      <c r="B118" s="3817" t="s">
        <v>2737</v>
      </c>
      <c r="C118" s="3116" t="s">
        <v>2738</v>
      </c>
      <c r="D118" s="3090" t="s">
        <v>2739</v>
      </c>
      <c r="E118" s="3116">
        <v>0.1</v>
      </c>
      <c r="F118" s="3116">
        <v>15</v>
      </c>
    </row>
    <row r="119" spans="1:6" ht="24">
      <c r="A119" s="3116">
        <v>45</v>
      </c>
      <c r="B119" s="3822"/>
      <c r="C119" s="3090" t="s">
        <v>2740</v>
      </c>
      <c r="D119" s="3090" t="s">
        <v>2741</v>
      </c>
      <c r="E119" s="3116">
        <v>0.1</v>
      </c>
      <c r="F119" s="3116">
        <v>15</v>
      </c>
    </row>
    <row r="120" spans="1:6" ht="24">
      <c r="A120" s="3116">
        <v>46</v>
      </c>
      <c r="B120" s="3817" t="s">
        <v>2742</v>
      </c>
      <c r="C120" s="3116" t="s">
        <v>2743</v>
      </c>
      <c r="D120" s="3090" t="s">
        <v>2744</v>
      </c>
      <c r="E120" s="3116">
        <v>0.1</v>
      </c>
      <c r="F120" s="3116">
        <v>15</v>
      </c>
    </row>
    <row r="121" spans="1:6" ht="24">
      <c r="A121" s="3116">
        <v>47</v>
      </c>
      <c r="B121" s="3822"/>
      <c r="C121" s="3116" t="s">
        <v>2745</v>
      </c>
      <c r="D121" s="3090" t="s">
        <v>2746</v>
      </c>
      <c r="E121" s="3116">
        <v>0.1</v>
      </c>
      <c r="F121" s="3116">
        <v>15</v>
      </c>
    </row>
    <row r="122" spans="1:6" ht="13.5">
      <c r="A122" s="3116">
        <v>48</v>
      </c>
      <c r="B122" s="3817" t="s">
        <v>2747</v>
      </c>
      <c r="C122" s="3116" t="s">
        <v>2748</v>
      </c>
      <c r="D122" s="3090" t="s">
        <v>2749</v>
      </c>
      <c r="E122" s="3116">
        <v>0.1</v>
      </c>
      <c r="F122" s="3116">
        <v>15</v>
      </c>
    </row>
    <row r="123" spans="1:6" ht="13.5">
      <c r="A123" s="3116">
        <v>49</v>
      </c>
      <c r="B123" s="3822"/>
      <c r="C123" s="3116" t="s">
        <v>2750</v>
      </c>
      <c r="D123" s="3090" t="s">
        <v>2751</v>
      </c>
      <c r="E123" s="3116">
        <v>0.1</v>
      </c>
      <c r="F123" s="3116">
        <v>15</v>
      </c>
    </row>
    <row r="124" spans="1:6" ht="24">
      <c r="A124" s="3116">
        <v>50</v>
      </c>
      <c r="B124" s="3810" t="s">
        <v>2752</v>
      </c>
      <c r="C124" s="3116" t="s">
        <v>2753</v>
      </c>
      <c r="D124" s="3090" t="s">
        <v>2754</v>
      </c>
      <c r="E124" s="3116">
        <v>0.1</v>
      </c>
      <c r="F124" s="3116">
        <v>15</v>
      </c>
    </row>
    <row r="125" spans="1:6" ht="24">
      <c r="A125" s="3116">
        <v>51</v>
      </c>
      <c r="B125" s="3810"/>
      <c r="C125" s="3116" t="s">
        <v>2755</v>
      </c>
      <c r="D125" s="3090" t="s">
        <v>2756</v>
      </c>
      <c r="E125" s="3116">
        <v>0.1</v>
      </c>
      <c r="F125" s="3116">
        <v>15</v>
      </c>
    </row>
    <row r="126" spans="1:6" ht="24">
      <c r="A126" s="3116">
        <v>52</v>
      </c>
      <c r="B126" s="3810" t="s">
        <v>2757</v>
      </c>
      <c r="C126" s="3116" t="s">
        <v>2758</v>
      </c>
      <c r="D126" s="3090" t="s">
        <v>2759</v>
      </c>
      <c r="E126" s="3116">
        <v>0.1</v>
      </c>
      <c r="F126" s="3116">
        <v>15</v>
      </c>
    </row>
    <row r="127" spans="1:6" ht="24">
      <c r="A127" s="3116">
        <v>53</v>
      </c>
      <c r="B127" s="3810"/>
      <c r="C127" s="3116" t="s">
        <v>2760</v>
      </c>
      <c r="D127" s="3090" t="s">
        <v>2761</v>
      </c>
      <c r="E127" s="3116">
        <v>0.1</v>
      </c>
      <c r="F127" s="3116">
        <v>15</v>
      </c>
    </row>
    <row r="128" spans="1:6" ht="13.5">
      <c r="A128" s="3116">
        <v>54</v>
      </c>
      <c r="B128" s="3116" t="s">
        <v>2762</v>
      </c>
      <c r="C128" s="3116" t="s">
        <v>2763</v>
      </c>
      <c r="D128" s="3090" t="s">
        <v>2764</v>
      </c>
      <c r="E128" s="3116">
        <v>0.1</v>
      </c>
      <c r="F128" s="3116">
        <v>15</v>
      </c>
    </row>
    <row r="129" spans="1:6" ht="13.5">
      <c r="A129" s="3116">
        <v>55</v>
      </c>
      <c r="B129" s="3810" t="s">
        <v>2765</v>
      </c>
      <c r="C129" s="3116" t="s">
        <v>2766</v>
      </c>
      <c r="D129" s="3090" t="s">
        <v>2767</v>
      </c>
      <c r="E129" s="3116">
        <v>0.1</v>
      </c>
      <c r="F129" s="3116">
        <v>15</v>
      </c>
    </row>
    <row r="130" spans="1:6" ht="13.5">
      <c r="A130" s="3116">
        <v>56</v>
      </c>
      <c r="B130" s="3810"/>
      <c r="C130" s="3116" t="s">
        <v>2768</v>
      </c>
      <c r="D130" s="3090" t="s">
        <v>2769</v>
      </c>
      <c r="E130" s="3116">
        <v>0.1</v>
      </c>
      <c r="F130" s="3116">
        <v>15</v>
      </c>
    </row>
    <row r="131" spans="1:6" ht="24">
      <c r="A131" s="3116">
        <v>57</v>
      </c>
      <c r="B131" s="3810"/>
      <c r="C131" s="3116" t="s">
        <v>2770</v>
      </c>
      <c r="D131" s="3090" t="s">
        <v>2771</v>
      </c>
      <c r="E131" s="3116">
        <v>0.1</v>
      </c>
      <c r="F131" s="3116">
        <v>15</v>
      </c>
    </row>
    <row r="132" spans="1:6" ht="24">
      <c r="A132" s="3116">
        <v>58</v>
      </c>
      <c r="B132" s="3810" t="s">
        <v>2772</v>
      </c>
      <c r="C132" s="3116" t="s">
        <v>2773</v>
      </c>
      <c r="D132" s="3090" t="s">
        <v>2774</v>
      </c>
      <c r="E132" s="3116">
        <v>0.1</v>
      </c>
      <c r="F132" s="3116">
        <v>15</v>
      </c>
    </row>
    <row r="133" spans="1:6" ht="13.5">
      <c r="A133" s="3116">
        <v>59</v>
      </c>
      <c r="B133" s="3810"/>
      <c r="C133" s="3116" t="s">
        <v>2775</v>
      </c>
      <c r="D133" s="3090" t="s">
        <v>2776</v>
      </c>
      <c r="E133" s="3116">
        <v>0.1</v>
      </c>
      <c r="F133" s="3116">
        <v>15</v>
      </c>
    </row>
    <row r="134" spans="1:6" ht="13.5">
      <c r="A134" s="3116">
        <v>60</v>
      </c>
      <c r="B134" s="3817" t="s">
        <v>2777</v>
      </c>
      <c r="C134" s="3116" t="s">
        <v>2778</v>
      </c>
      <c r="D134" s="3090" t="s">
        <v>2779</v>
      </c>
      <c r="E134" s="3116">
        <v>0.1</v>
      </c>
      <c r="F134" s="3116">
        <v>15</v>
      </c>
    </row>
    <row r="135" spans="1:6" ht="13.5">
      <c r="A135" s="3116">
        <v>61</v>
      </c>
      <c r="B135" s="3822"/>
      <c r="C135" s="3116" t="s">
        <v>2780</v>
      </c>
      <c r="D135" s="3090" t="s">
        <v>2781</v>
      </c>
      <c r="E135" s="3116">
        <v>0.1</v>
      </c>
      <c r="F135" s="3116">
        <v>15</v>
      </c>
    </row>
    <row r="136" spans="1:6" ht="24">
      <c r="A136" s="3116">
        <v>62</v>
      </c>
      <c r="B136" s="3116" t="s">
        <v>2782</v>
      </c>
      <c r="C136" s="3116" t="s">
        <v>2783</v>
      </c>
      <c r="D136" s="3090" t="s">
        <v>2784</v>
      </c>
      <c r="E136" s="3116">
        <v>0.1</v>
      </c>
      <c r="F136" s="3116">
        <v>15</v>
      </c>
    </row>
    <row r="137" spans="1:6" ht="13.5">
      <c r="A137" s="3116">
        <v>63</v>
      </c>
      <c r="B137" s="3810" t="s">
        <v>2785</v>
      </c>
      <c r="C137" s="3116" t="s">
        <v>2786</v>
      </c>
      <c r="D137" s="3090" t="s">
        <v>2787</v>
      </c>
      <c r="E137" s="3116">
        <v>0.1</v>
      </c>
      <c r="F137" s="3116">
        <v>15</v>
      </c>
    </row>
    <row r="138" spans="1:6" ht="13.5">
      <c r="A138" s="3116">
        <v>64</v>
      </c>
      <c r="B138" s="3810"/>
      <c r="C138" s="3116" t="s">
        <v>2788</v>
      </c>
      <c r="D138" s="3090" t="s">
        <v>2789</v>
      </c>
      <c r="E138" s="3116">
        <v>0.1</v>
      </c>
      <c r="F138" s="3116">
        <v>15</v>
      </c>
    </row>
    <row r="139" spans="1:6" ht="13.5">
      <c r="A139" s="3116">
        <v>65</v>
      </c>
      <c r="B139" s="3116" t="s">
        <v>2790</v>
      </c>
      <c r="C139" s="3116" t="s">
        <v>2791</v>
      </c>
      <c r="D139" s="3090" t="s">
        <v>2792</v>
      </c>
      <c r="E139" s="3116">
        <v>0.1</v>
      </c>
      <c r="F139" s="3116">
        <v>15</v>
      </c>
    </row>
    <row r="140" spans="1:6" ht="13.5">
      <c r="A140" s="3116"/>
      <c r="B140" s="3116"/>
      <c r="C140" s="3116"/>
      <c r="D140" s="3116"/>
      <c r="E140" s="3116" t="s">
        <v>2793</v>
      </c>
      <c r="F140" s="3116" t="s">
        <v>2793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92"/>
      <c r="B4" s="3504" t="s">
        <v>917</v>
      </c>
      <c r="C4" s="3504"/>
      <c r="D4" s="3504"/>
      <c r="E4" s="1492"/>
    </row>
    <row r="5" spans="1:5" ht="16.5" thickTop="1">
      <c r="A5" s="1490"/>
      <c r="B5" s="3502" t="s">
        <v>909</v>
      </c>
      <c r="C5" s="1493" t="s">
        <v>910</v>
      </c>
      <c r="D5" s="849">
        <f ca="1">结果表!H101</f>
        <v>3209</v>
      </c>
      <c r="E5" s="1490"/>
    </row>
    <row r="6" spans="1:5" ht="15.75">
      <c r="A6" s="1490"/>
      <c r="B6" s="3502"/>
      <c r="C6" s="1493" t="s">
        <v>911</v>
      </c>
      <c r="D6" s="849" t="str">
        <f ca="1">NUMBERSTRING(INT(D5*10000),2)&amp;"元整"</f>
        <v>叁仟贰佰零玖万元整</v>
      </c>
      <c r="E6" s="1490"/>
    </row>
    <row r="7" spans="1:5" ht="15.75">
      <c r="A7" s="1490"/>
      <c r="B7" s="3507"/>
      <c r="C7" s="1494" t="s">
        <v>912</v>
      </c>
      <c r="D7" s="850">
        <f ca="1">结果表!H102</f>
        <v>56169</v>
      </c>
      <c r="E7" s="1490"/>
    </row>
    <row r="8" spans="1:5" ht="15.75">
      <c r="A8" s="1490"/>
      <c r="B8" s="3508" t="str">
        <f>结果表!E103</f>
        <v>2.估价师知悉的法定优先受偿款</v>
      </c>
      <c r="C8" s="1495" t="s">
        <v>913</v>
      </c>
      <c r="D8" s="850">
        <f>结果表!H103</f>
        <v>0</v>
      </c>
      <c r="E8" s="1490"/>
    </row>
    <row r="9" spans="1:5" ht="15.75">
      <c r="A9" s="1490"/>
      <c r="B9" s="351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01" t="str">
        <f>结果表!E107</f>
        <v>3.房地产抵押价值</v>
      </c>
      <c r="C13" s="1498" t="s">
        <v>910</v>
      </c>
      <c r="D13" s="852">
        <f ca="1">结果表!H107</f>
        <v>3209</v>
      </c>
      <c r="E13" s="1490"/>
    </row>
    <row r="14" spans="1:5" ht="15.75">
      <c r="A14" s="1490"/>
      <c r="B14" s="3502"/>
      <c r="C14" s="1493" t="s">
        <v>911</v>
      </c>
      <c r="D14" s="849" t="str">
        <f ca="1">NUMBERSTRING(INT(D13*10000),2)&amp;"元整"</f>
        <v>叁仟贰佰零玖万元整</v>
      </c>
      <c r="E14" s="1490"/>
    </row>
    <row r="15" spans="1:5" ht="15">
      <c r="A15" s="1490"/>
      <c r="B15" s="3507"/>
      <c r="C15" s="1494" t="s">
        <v>921</v>
      </c>
      <c r="D15" s="858">
        <f ca="1">结果表!H108</f>
        <v>56169</v>
      </c>
      <c r="E15" s="1490"/>
    </row>
    <row r="16" spans="1:5" ht="15">
      <c r="A16" s="1490"/>
      <c r="B16" s="3508" t="str">
        <f>结果表!E109</f>
        <v>——</v>
      </c>
      <c r="C16" s="1498" t="s">
        <v>922</v>
      </c>
      <c r="D16" s="1499" t="str">
        <f>结果表!H109</f>
        <v>——</v>
      </c>
      <c r="E16" s="1490"/>
    </row>
    <row r="17" spans="1:5" ht="15.75">
      <c r="A17" s="1490"/>
      <c r="B17" s="3509"/>
      <c r="C17" s="1493" t="s">
        <v>923</v>
      </c>
      <c r="D17" s="849" t="e">
        <f>NUMBERSTRING(INT(D16*10000),2)&amp;"元整"</f>
        <v>#VALUE!</v>
      </c>
      <c r="E17" s="1490"/>
    </row>
    <row r="18" spans="1:5" ht="15">
      <c r="A18" s="1490"/>
      <c r="B18" s="3510"/>
      <c r="C18" s="1494" t="s">
        <v>912</v>
      </c>
      <c r="D18" s="858" t="str">
        <f>结果表!H110</f>
        <v>——</v>
      </c>
      <c r="E18" s="1490"/>
    </row>
    <row r="19" spans="1:5" ht="15.75">
      <c r="A19" s="1490"/>
      <c r="B19" s="3501" t="str">
        <f>结果表!E111</f>
        <v>——</v>
      </c>
      <c r="C19" s="1498" t="s">
        <v>910</v>
      </c>
      <c r="D19" s="850" t="str">
        <f>结果表!H111</f>
        <v>——</v>
      </c>
      <c r="E19" s="1490"/>
    </row>
    <row r="20" spans="1:5" ht="15.75">
      <c r="A20" s="1490"/>
      <c r="B20" s="3502"/>
      <c r="C20" s="1493" t="s">
        <v>923</v>
      </c>
      <c r="D20" s="849" t="e">
        <f>NUMBERSTRING(INT(D19*10000),2)&amp;"元整"</f>
        <v>#VALUE!</v>
      </c>
      <c r="E20" s="1490"/>
    </row>
    <row r="21" spans="1:5" ht="15.75" thickBot="1">
      <c r="A21" s="1490"/>
      <c r="B21" s="350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2794</v>
      </c>
      <c r="B1" s="3125"/>
      <c r="C1" s="3125"/>
      <c r="D1" s="3125"/>
      <c r="E1" s="3125"/>
      <c r="F1" s="3125"/>
      <c r="G1" s="3125"/>
      <c r="H1" s="3125"/>
      <c r="I1" s="3125"/>
      <c r="J1" s="3125"/>
      <c r="K1" s="3125"/>
      <c r="L1" s="3125"/>
      <c r="M1" s="3125"/>
      <c r="N1" s="748"/>
    </row>
    <row r="2" spans="1:20">
      <c r="A2" s="3126" t="s">
        <v>2795</v>
      </c>
      <c r="B2" s="3127" t="s">
        <v>2591</v>
      </c>
      <c r="C2" s="3127" t="s">
        <v>2592</v>
      </c>
      <c r="D2" s="3127" t="s">
        <v>2593</v>
      </c>
      <c r="E2" s="3127" t="s">
        <v>2594</v>
      </c>
      <c r="F2" s="3127" t="s">
        <v>2595</v>
      </c>
      <c r="G2" s="3127" t="s">
        <v>2596</v>
      </c>
      <c r="H2" s="3128" t="s">
        <v>2597</v>
      </c>
      <c r="I2" s="3128" t="s">
        <v>2598</v>
      </c>
      <c r="J2" s="3129" t="s">
        <v>2599</v>
      </c>
      <c r="K2" s="3129" t="s">
        <v>2600</v>
      </c>
      <c r="L2" s="3129" t="s">
        <v>2601</v>
      </c>
      <c r="M2" s="3130" t="s">
        <v>2602</v>
      </c>
      <c r="Q2" s="3140" t="s">
        <v>2800</v>
      </c>
      <c r="R2" s="3140" t="s">
        <v>2801</v>
      </c>
      <c r="S2" s="3140" t="s">
        <v>2802</v>
      </c>
      <c r="T2" s="3140" t="s">
        <v>2803</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2796</v>
      </c>
      <c r="B93" s="3125"/>
      <c r="C93" s="3125"/>
      <c r="D93" s="3125"/>
      <c r="E93" s="3125"/>
      <c r="F93" s="3125"/>
      <c r="G93" s="3125"/>
      <c r="H93" s="3125"/>
      <c r="I93" s="3125"/>
      <c r="J93" s="3125"/>
      <c r="K93" s="3125"/>
      <c r="L93" s="3125"/>
      <c r="M93" s="3125"/>
    </row>
    <row r="94" spans="1:20">
      <c r="A94" s="3126" t="s">
        <v>2795</v>
      </c>
      <c r="B94" s="3127" t="s">
        <v>2591</v>
      </c>
      <c r="C94" s="3127" t="s">
        <v>2592</v>
      </c>
      <c r="D94" s="3127" t="s">
        <v>2593</v>
      </c>
      <c r="E94" s="3127" t="s">
        <v>2594</v>
      </c>
      <c r="F94" s="3127" t="s">
        <v>2595</v>
      </c>
      <c r="G94" s="3127" t="s">
        <v>2596</v>
      </c>
      <c r="H94" s="3128" t="s">
        <v>2597</v>
      </c>
      <c r="I94" s="3128" t="s">
        <v>2598</v>
      </c>
      <c r="J94" s="3129" t="s">
        <v>2599</v>
      </c>
      <c r="K94" s="3129" t="s">
        <v>2600</v>
      </c>
      <c r="L94" s="3129" t="s">
        <v>2601</v>
      </c>
      <c r="M94" s="3130" t="s">
        <v>2602</v>
      </c>
      <c r="N94" s="749">
        <f>SUMPRODUCT((A95:A184=ROUNDDOWN(基准地价修正!G3,1))*(B94:M94=基准地价修正!G2)*(B95:M184))</f>
        <v>0</v>
      </c>
      <c r="Q94" s="3140" t="s">
        <v>2800</v>
      </c>
      <c r="R94" s="3140" t="s">
        <v>2801</v>
      </c>
      <c r="S94" s="3140" t="s">
        <v>2802</v>
      </c>
      <c r="T94" s="3140" t="s">
        <v>2803</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2797</v>
      </c>
      <c r="B185" s="3125"/>
      <c r="C185" s="3125"/>
      <c r="D185" s="3125"/>
      <c r="E185" s="3125"/>
      <c r="F185" s="3125"/>
      <c r="G185" s="3125"/>
      <c r="H185" s="3125"/>
      <c r="I185" s="3125"/>
      <c r="J185" s="3125"/>
      <c r="K185" s="3125"/>
      <c r="L185" s="3125"/>
      <c r="M185" s="3125"/>
    </row>
    <row r="186" spans="1:20">
      <c r="A186" s="3126" t="s">
        <v>2795</v>
      </c>
      <c r="B186" s="3127" t="s">
        <v>2591</v>
      </c>
      <c r="C186" s="3127" t="s">
        <v>2592</v>
      </c>
      <c r="D186" s="3127" t="s">
        <v>2593</v>
      </c>
      <c r="E186" s="3127" t="s">
        <v>2594</v>
      </c>
      <c r="F186" s="3127" t="s">
        <v>2595</v>
      </c>
      <c r="G186" s="3127" t="s">
        <v>2596</v>
      </c>
      <c r="H186" s="3128" t="s">
        <v>2597</v>
      </c>
      <c r="I186" s="3128" t="s">
        <v>2598</v>
      </c>
      <c r="J186" s="3129" t="s">
        <v>2599</v>
      </c>
      <c r="K186" s="3129" t="s">
        <v>2600</v>
      </c>
      <c r="L186" s="3129" t="s">
        <v>2601</v>
      </c>
      <c r="M186" s="3130" t="s">
        <v>2602</v>
      </c>
      <c r="Q186" s="3140" t="s">
        <v>2800</v>
      </c>
      <c r="R186" s="3140" t="s">
        <v>2801</v>
      </c>
      <c r="S186" s="3140" t="s">
        <v>2802</v>
      </c>
      <c r="T186" s="3140" t="s">
        <v>2803</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2798</v>
      </c>
      <c r="B277" s="3125"/>
      <c r="C277" s="3125"/>
      <c r="D277" s="3125"/>
      <c r="E277" s="3125"/>
      <c r="F277" s="3125"/>
      <c r="G277" s="3125"/>
      <c r="H277" s="3125"/>
      <c r="I277" s="3125"/>
      <c r="J277" s="3125"/>
      <c r="K277" s="3125"/>
      <c r="L277" s="3125"/>
      <c r="M277" s="3125"/>
    </row>
    <row r="278" spans="1:21">
      <c r="A278" s="3126" t="s">
        <v>2795</v>
      </c>
      <c r="B278" s="3127" t="s">
        <v>2591</v>
      </c>
      <c r="C278" s="3127" t="s">
        <v>2592</v>
      </c>
      <c r="D278" s="3127" t="s">
        <v>2593</v>
      </c>
      <c r="E278" s="3127" t="s">
        <v>2594</v>
      </c>
      <c r="F278" s="3127" t="s">
        <v>2595</v>
      </c>
      <c r="G278" s="3127" t="s">
        <v>2596</v>
      </c>
      <c r="H278" s="3128" t="s">
        <v>2597</v>
      </c>
      <c r="I278" s="3128" t="s">
        <v>2598</v>
      </c>
      <c r="J278" s="3129" t="s">
        <v>2599</v>
      </c>
      <c r="K278" s="3129" t="s">
        <v>2600</v>
      </c>
      <c r="L278" s="3129" t="s">
        <v>2601</v>
      </c>
      <c r="M278" s="3130" t="s">
        <v>2602</v>
      </c>
      <c r="Q278" s="3140" t="s">
        <v>2800</v>
      </c>
      <c r="R278" s="3140" t="s">
        <v>2801</v>
      </c>
      <c r="S278" s="3140" t="s">
        <v>2804</v>
      </c>
      <c r="T278" s="3140" t="s">
        <v>2805</v>
      </c>
      <c r="U278" s="3140" t="s">
        <v>2803</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2799</v>
      </c>
      <c r="B369" s="3138"/>
      <c r="C369" s="3138"/>
      <c r="D369" s="3138"/>
      <c r="E369" s="3138"/>
      <c r="F369" s="3138"/>
      <c r="G369" s="3138"/>
      <c r="H369" s="3138"/>
      <c r="I369" s="3138"/>
      <c r="J369" s="3138"/>
      <c r="K369" s="3138"/>
      <c r="L369" s="3138"/>
      <c r="M369" s="3138"/>
    </row>
    <row r="370" spans="1:20">
      <c r="A370" s="3126" t="s">
        <v>2795</v>
      </c>
      <c r="B370" s="3127" t="s">
        <v>2591</v>
      </c>
      <c r="C370" s="3127" t="s">
        <v>2592</v>
      </c>
      <c r="D370" s="3127" t="s">
        <v>2593</v>
      </c>
      <c r="E370" s="3127" t="s">
        <v>2594</v>
      </c>
      <c r="F370" s="3127" t="s">
        <v>2595</v>
      </c>
      <c r="G370" s="3127" t="s">
        <v>2596</v>
      </c>
      <c r="H370" s="3128" t="s">
        <v>2597</v>
      </c>
      <c r="I370" s="3128" t="s">
        <v>2598</v>
      </c>
      <c r="J370" s="3129" t="s">
        <v>2599</v>
      </c>
      <c r="K370" s="3129" t="s">
        <v>2600</v>
      </c>
      <c r="L370" s="3129" t="s">
        <v>2601</v>
      </c>
      <c r="M370" s="3130" t="s">
        <v>2602</v>
      </c>
      <c r="N370" s="749">
        <f>SUMPRODUCT((A371:A460=ROUNDDOWN(基准地价修正!G3,1))*(B370:M370=基准地价修正!G2)*(B371:M460))</f>
        <v>0</v>
      </c>
      <c r="Q370" s="3140" t="s">
        <v>2800</v>
      </c>
      <c r="R370" s="3140" t="s">
        <v>2801</v>
      </c>
      <c r="S370" s="3140" t="s">
        <v>2802</v>
      </c>
      <c r="T370" s="3140" t="s">
        <v>2803</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28226</v>
      </c>
      <c r="C2" s="2" t="s">
        <v>106</v>
      </c>
      <c r="D2" s="199"/>
      <c r="E2" s="199"/>
      <c r="F2" s="199"/>
      <c r="G2" s="199"/>
    </row>
    <row r="3" spans="1:7" s="200" customFormat="1" ht="18" customHeight="1" thickBot="1">
      <c r="A3" s="203" t="s">
        <v>58</v>
      </c>
      <c r="B3" s="204">
        <f ca="1">ROUND(B2*10000/'数据-汇总表'!E3,0)</f>
        <v>494118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11</v>
      </c>
      <c r="D10" s="844">
        <f>'数据-汇总表'!E6</f>
        <v>571.24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11</v>
      </c>
      <c r="D19" s="848">
        <f>'数据-汇总表'!E3</f>
        <v>571.24</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1330</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3186</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3186</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331</v>
      </c>
      <c r="D34" s="217"/>
      <c r="E34" s="220"/>
      <c r="F34" s="257">
        <f>IF('数据-取费表'!B24=0,1,'数据-取费表'!N16)</f>
        <v>1</v>
      </c>
      <c r="G34" s="219" t="s">
        <v>89</v>
      </c>
    </row>
    <row r="35" spans="1:7" ht="13.5" customHeight="1">
      <c r="A35" s="779" t="s">
        <v>351</v>
      </c>
      <c r="B35" s="215" t="s">
        <v>33</v>
      </c>
      <c r="C35" s="220">
        <f>ROUND(C34*F35,0)</f>
        <v>17</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11</v>
      </c>
      <c r="D37" s="217">
        <f>'数据-汇总表'!E3</f>
        <v>571.24</v>
      </c>
      <c r="E37" s="249">
        <f>'数据-取费表'!B35</f>
        <v>200</v>
      </c>
      <c r="F37" s="259"/>
      <c r="G37" s="261" t="s">
        <v>92</v>
      </c>
    </row>
    <row r="38" spans="1:7" ht="13.5" customHeight="1">
      <c r="A38" s="779" t="s">
        <v>354</v>
      </c>
      <c r="B38" s="215" t="s">
        <v>36</v>
      </c>
      <c r="C38" s="220">
        <f>ROUND(C34*F38,0)</f>
        <v>7</v>
      </c>
      <c r="D38" s="220"/>
      <c r="E38" s="220"/>
      <c r="F38" s="259">
        <f>'数据-取费表'!B36</f>
        <v>0.02</v>
      </c>
      <c r="G38" s="219" t="s">
        <v>90</v>
      </c>
    </row>
    <row r="39" spans="1:7" s="214" customFormat="1" ht="13.5" customHeight="1">
      <c r="A39" s="776" t="s">
        <v>338</v>
      </c>
      <c r="B39" s="210" t="s">
        <v>77</v>
      </c>
      <c r="C39" s="232">
        <f>ROUND(C33*F20,0)</f>
        <v>11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11</v>
      </c>
      <c r="D42" s="238"/>
      <c r="E42" s="238"/>
      <c r="F42" s="239"/>
      <c r="G42" s="3683" t="s">
        <v>94</v>
      </c>
    </row>
    <row r="43" spans="1:7" ht="13.5" customHeight="1">
      <c r="A43" s="779" t="s">
        <v>347</v>
      </c>
      <c r="B43" s="215" t="s">
        <v>426</v>
      </c>
      <c r="C43" s="238">
        <f ca="1">ROUND(IF('数据-取费表'!B22&lt;=1,C39*F22*'数据-取费表'!B21/2,C39*(POWER((1+F22),'数据-取费表'!B21/2)-1)),0)</f>
        <v>0</v>
      </c>
      <c r="D43" s="238"/>
      <c r="E43" s="238"/>
      <c r="F43" s="239"/>
      <c r="G43" s="3684"/>
    </row>
    <row r="44" spans="1:7" ht="13.5" customHeight="1">
      <c r="A44" s="779" t="s">
        <v>348</v>
      </c>
      <c r="B44" s="215" t="s">
        <v>428</v>
      </c>
      <c r="C44" s="238">
        <f ca="1">ROUND(IF('数据-取费表'!B22&lt;=1,C40*F22*'数据-取费表'!B21/2,C40*(POWER((1+F22),'数据-取费表'!B21/2)-1)),4)</f>
        <v>5.9999999999999995E-4</v>
      </c>
      <c r="D44" s="238"/>
      <c r="E44" s="238"/>
      <c r="F44" s="239"/>
      <c r="G44" s="3685"/>
    </row>
    <row r="45" spans="1:7" s="214" customFormat="1" ht="13.5" customHeight="1">
      <c r="A45" s="776" t="s">
        <v>341</v>
      </c>
      <c r="B45" s="244" t="s">
        <v>85</v>
      </c>
      <c r="C45" s="245">
        <f>C46</f>
        <v>57</v>
      </c>
      <c r="D45" s="235">
        <f>C47</f>
        <v>3.0000000000000001E-3</v>
      </c>
      <c r="E45" s="236" t="s">
        <v>102</v>
      </c>
      <c r="F45" s="246"/>
      <c r="G45" s="247" t="s">
        <v>434</v>
      </c>
    </row>
    <row r="46" spans="1:7" s="214" customFormat="1" ht="13.5" customHeight="1">
      <c r="A46" s="779" t="s">
        <v>349</v>
      </c>
      <c r="B46" s="248" t="s">
        <v>427</v>
      </c>
      <c r="C46" s="249">
        <f>ROUND((C33+C39)*F27,0)</f>
        <v>57</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482</v>
      </c>
      <c r="D49" s="232"/>
      <c r="E49" s="232"/>
      <c r="F49" s="264"/>
      <c r="G49" s="234" t="s">
        <v>435</v>
      </c>
    </row>
    <row r="50" spans="1:7" s="258" customFormat="1" ht="24">
      <c r="A50" s="776" t="s">
        <v>344</v>
      </c>
      <c r="B50" s="210" t="s">
        <v>97</v>
      </c>
      <c r="C50" s="232"/>
      <c r="D50" s="232"/>
      <c r="E50" s="232"/>
      <c r="F50" s="264">
        <f>IF('数据-取费表'!B24=0,'数据-取费表'!N16,1)</f>
        <v>0.67</v>
      </c>
      <c r="G50" s="247" t="s">
        <v>98</v>
      </c>
    </row>
    <row r="51" spans="1:7" ht="16.5" customHeight="1">
      <c r="A51" s="776" t="s">
        <v>345</v>
      </c>
      <c r="B51" s="210" t="s">
        <v>105</v>
      </c>
      <c r="C51" s="232">
        <f ca="1">ROUND(C49*F50,0)</f>
        <v>323</v>
      </c>
      <c r="D51" s="232"/>
      <c r="E51" s="232"/>
      <c r="F51" s="264"/>
      <c r="G51" s="234" t="s">
        <v>37</v>
      </c>
    </row>
    <row r="52" spans="1:7" s="208" customFormat="1" ht="16.5" thickBot="1">
      <c r="A52" s="265" t="s">
        <v>38</v>
      </c>
      <c r="B52" s="266"/>
      <c r="C52" s="267">
        <f ca="1">C31+C51</f>
        <v>28226</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23" t="s">
        <v>3177</v>
      </c>
      <c r="B1" s="3823"/>
    </row>
    <row r="2" spans="1:7" ht="14.25" thickBot="1">
      <c r="A2" s="3253"/>
      <c r="B2" s="3253"/>
    </row>
    <row r="3" spans="1:7" ht="14.25" thickBot="1">
      <c r="A3" s="3253"/>
      <c r="B3" s="3253"/>
      <c r="C3" s="3254" t="s">
        <v>2807</v>
      </c>
      <c r="D3" s="3254" t="s">
        <v>2863</v>
      </c>
      <c r="E3" s="3254" t="s">
        <v>2809</v>
      </c>
      <c r="F3" s="3254" t="s">
        <v>2864</v>
      </c>
      <c r="G3" s="3254" t="s">
        <v>2627</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24" t="s">
        <v>3228</v>
      </c>
      <c r="B1" s="3824"/>
      <c r="C1" s="3824"/>
      <c r="D1" s="3824"/>
      <c r="E1" s="3824"/>
      <c r="F1" s="3825"/>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19">
        <f>基准地价修正!G23</f>
        <v>45940</v>
      </c>
      <c r="B1" s="3208" t="s">
        <v>3372</v>
      </c>
      <c r="C1" s="3209"/>
      <c r="D1" s="3209"/>
      <c r="E1" s="3209"/>
      <c r="F1" s="3209"/>
      <c r="G1" s="3209"/>
      <c r="H1" s="3209"/>
      <c r="I1" s="3209"/>
      <c r="J1" s="3163"/>
      <c r="K1" s="3209" t="s">
        <v>454</v>
      </c>
      <c r="L1" s="3209"/>
      <c r="M1" s="3209"/>
      <c r="N1" s="3209"/>
      <c r="O1" s="3209"/>
      <c r="P1" s="3209"/>
      <c r="Q1" s="3163"/>
      <c r="R1" s="3826" t="s">
        <v>456</v>
      </c>
      <c r="S1" s="3827"/>
      <c r="T1" s="3827"/>
      <c r="U1" s="3827"/>
      <c r="V1" s="3827"/>
      <c r="W1" s="3827"/>
      <c r="X1" s="3163"/>
      <c r="Y1" s="3826" t="s">
        <v>457</v>
      </c>
      <c r="Z1" s="3827"/>
      <c r="AA1" s="3827"/>
      <c r="AB1" s="3827"/>
      <c r="AC1" s="3827"/>
      <c r="AD1" s="3827"/>
    </row>
    <row r="2" spans="1:44" s="3141" customFormat="1" ht="14.25" thickBot="1">
      <c r="B2" s="3142"/>
      <c r="C2" s="3143"/>
      <c r="D2" s="3144" t="s">
        <v>2806</v>
      </c>
      <c r="E2" s="3145" t="s">
        <v>2807</v>
      </c>
      <c r="F2" s="3145" t="s">
        <v>2808</v>
      </c>
      <c r="G2" s="3145" t="s">
        <v>2809</v>
      </c>
      <c r="H2" s="3145" t="s">
        <v>2810</v>
      </c>
      <c r="I2" s="3145" t="s">
        <v>2627</v>
      </c>
      <c r="J2" s="3146"/>
      <c r="K2" s="3144" t="s">
        <v>2806</v>
      </c>
      <c r="L2" s="3145" t="s">
        <v>2807</v>
      </c>
      <c r="M2" s="3145" t="s">
        <v>2808</v>
      </c>
      <c r="N2" s="3145" t="s">
        <v>2809</v>
      </c>
      <c r="O2" s="3145" t="s">
        <v>2811</v>
      </c>
      <c r="P2" s="3145" t="s">
        <v>2627</v>
      </c>
      <c r="Q2" s="3146"/>
      <c r="R2" s="3144" t="s">
        <v>2806</v>
      </c>
      <c r="S2" s="3145" t="s">
        <v>2807</v>
      </c>
      <c r="T2" s="3145" t="s">
        <v>2808</v>
      </c>
      <c r="U2" s="3145" t="s">
        <v>2812</v>
      </c>
      <c r="V2" s="3145" t="s">
        <v>2813</v>
      </c>
      <c r="W2" s="3145" t="s">
        <v>2627</v>
      </c>
      <c r="X2" s="3146"/>
      <c r="Y2" s="3144" t="s">
        <v>2806</v>
      </c>
      <c r="Z2" s="3145" t="s">
        <v>2807</v>
      </c>
      <c r="AA2" s="3145" t="s">
        <v>2808</v>
      </c>
      <c r="AB2" s="3145" t="s">
        <v>2814</v>
      </c>
      <c r="AC2" s="3145" t="s">
        <v>2813</v>
      </c>
      <c r="AD2" s="3145" t="s">
        <v>2627</v>
      </c>
      <c r="AF2" t="s">
        <v>3399</v>
      </c>
      <c r="AG2" t="s">
        <v>673</v>
      </c>
      <c r="AH2" t="s">
        <v>21</v>
      </c>
      <c r="AI2" t="s">
        <v>3400</v>
      </c>
      <c r="AJ2" t="s">
        <v>3</v>
      </c>
      <c r="AK2" t="s">
        <v>3401</v>
      </c>
      <c r="AM2" t="s">
        <v>3399</v>
      </c>
      <c r="AN2" t="s">
        <v>673</v>
      </c>
      <c r="AO2" t="s">
        <v>21</v>
      </c>
      <c r="AP2" t="s">
        <v>3400</v>
      </c>
      <c r="AQ2" t="s">
        <v>3</v>
      </c>
      <c r="AR2" t="s">
        <v>3401</v>
      </c>
    </row>
    <row r="3" spans="1:44" s="3159" customFormat="1" ht="12.75">
      <c r="A3" s="3147" t="s">
        <v>2815</v>
      </c>
      <c r="B3" s="3148"/>
      <c r="C3" s="3149"/>
      <c r="D3" s="3149">
        <f>ROUND(AVERAGEIF(D4:D24,"&lt;&gt;0"),2)</f>
        <v>0.37</v>
      </c>
      <c r="E3" s="3149">
        <f t="shared" ref="E3:H3" si="0">ROUND(AVERAGEIF(E4:E24,"&lt;&gt;0"),2)</f>
        <v>0.16</v>
      </c>
      <c r="F3" s="3149">
        <f t="shared" si="0"/>
        <v>-0.12</v>
      </c>
      <c r="G3" s="3149">
        <f t="shared" si="0"/>
        <v>0.44</v>
      </c>
      <c r="H3" s="3149">
        <f t="shared" si="0"/>
        <v>0.5</v>
      </c>
      <c r="I3" s="3149">
        <f>F3</f>
        <v>-0.12</v>
      </c>
      <c r="J3" s="3150"/>
      <c r="K3" s="3151">
        <f>ROUND(AVERAGEIF(K4:K24,"&lt;&gt;0"),4)</f>
        <v>3.7000000000000002E-3</v>
      </c>
      <c r="L3" s="3152">
        <f t="shared" ref="L3:O3" si="1">ROUND(AVERAGEIF(L4:L24,"&lt;&gt;0"),4)</f>
        <v>1.6000000000000001E-3</v>
      </c>
      <c r="M3" s="3152">
        <f t="shared" si="1"/>
        <v>-1.1999999999999999E-3</v>
      </c>
      <c r="N3" s="3152">
        <f t="shared" si="1"/>
        <v>4.4000000000000003E-3</v>
      </c>
      <c r="O3" s="3152">
        <f t="shared" si="1"/>
        <v>5.0000000000000001E-3</v>
      </c>
      <c r="P3" s="3152">
        <f>M3</f>
        <v>-1.1999999999999999E-3</v>
      </c>
      <c r="Q3" s="3150"/>
      <c r="R3" s="3153">
        <f>ROUND(SUMPRODUCT(PRODUCT(1+K4:K24)),4)</f>
        <v>1.0680000000000001</v>
      </c>
      <c r="S3" s="3154">
        <f t="shared" ref="S3:V3" si="2">ROUND(SUMPRODUCT(PRODUCT(1+L4:L24)),4)</f>
        <v>1.0290999999999999</v>
      </c>
      <c r="T3" s="3154">
        <f t="shared" si="2"/>
        <v>0.97850000000000004</v>
      </c>
      <c r="U3" s="3154">
        <f t="shared" si="2"/>
        <v>1.0807</v>
      </c>
      <c r="V3" s="3154">
        <f t="shared" si="2"/>
        <v>1.093</v>
      </c>
      <c r="W3" s="3153">
        <f>T3</f>
        <v>0.97850000000000004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3398</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1.0577000000000001</v>
      </c>
      <c r="S5" s="3181">
        <f>ROUND(IF(项目基本情况!$B$8="出让",SUMPRODUCT(PRODUCT(1+L5:$L$24)),SUMPRODUCT(PRODUCT(1+L5:$L$23))),4)</f>
        <v>1.0275000000000001</v>
      </c>
      <c r="T5" s="3181">
        <f>ROUND(IF(项目基本情况!$B$8="出让",SUMPRODUCT(PRODUCT(1+M5:$M$24)),SUMPRODUCT(PRODUCT(1+M5:$M$23))),4)</f>
        <v>0.98089999999999999</v>
      </c>
      <c r="U5" s="3181">
        <f>ROUND(IF(项目基本情况!$B$8="出让",SUMPRODUCT(PRODUCT(1+N5:$N$24)),SUMPRODUCT(PRODUCT(1+N5:$N$23))),4)</f>
        <v>1.0689</v>
      </c>
      <c r="V5" s="3181">
        <f>ROUND(IF(项目基本情况!$B$8="出让",SUMPRODUCT(PRODUCT(1+O5:$O$24)),SUMPRODUCT(PRODUCT(1+O5:$O$23))),4)</f>
        <v>1.0891</v>
      </c>
      <c r="W5" s="3181">
        <f t="shared" ref="W5:W11" si="11">T5</f>
        <v>0.98089999999999999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105.77000000000001</v>
      </c>
      <c r="AG5" s="3456">
        <f t="shared" ref="AG5:AK5" si="18">$AF$24*S5</f>
        <v>102.75000000000001</v>
      </c>
      <c r="AH5" s="3456">
        <f t="shared" si="18"/>
        <v>98.09</v>
      </c>
      <c r="AI5" s="3456">
        <f t="shared" si="18"/>
        <v>106.89</v>
      </c>
      <c r="AJ5" s="3456">
        <f t="shared" si="18"/>
        <v>108.91</v>
      </c>
      <c r="AK5" s="3456">
        <f t="shared" si="18"/>
        <v>98.09</v>
      </c>
      <c r="AM5" s="3462">
        <v>100</v>
      </c>
      <c r="AN5" s="3462">
        <v>100</v>
      </c>
      <c r="AO5" s="3462">
        <v>100</v>
      </c>
      <c r="AP5" s="3462">
        <v>100</v>
      </c>
      <c r="AQ5" s="3462">
        <v>100</v>
      </c>
      <c r="AR5" s="3462">
        <v>100</v>
      </c>
    </row>
    <row r="6" spans="1:44" s="3183" customFormat="1" ht="12.75">
      <c r="A6" s="2204" t="s">
        <v>3397</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1.0577000000000001</v>
      </c>
      <c r="S6" s="3181">
        <f>ROUND(IF(项目基本情况!$B$8="出让",SUMPRODUCT(PRODUCT(1+L6:$L$24)),SUMPRODUCT(PRODUCT(1+L6:$L$23))),4)</f>
        <v>1.0275000000000001</v>
      </c>
      <c r="T6" s="3181">
        <f>ROUND(IF(项目基本情况!$B$8="出让",SUMPRODUCT(PRODUCT(1+M6:$M$24)),SUMPRODUCT(PRODUCT(1+M6:$M$23))),4)</f>
        <v>0.98089999999999999</v>
      </c>
      <c r="U6" s="3181">
        <f>ROUND(IF(项目基本情况!$B$8="出让",SUMPRODUCT(PRODUCT(1+N6:$N$24)),SUMPRODUCT(PRODUCT(1+N6:$N$23))),4)</f>
        <v>1.0689</v>
      </c>
      <c r="V6" s="3181">
        <f>ROUND(IF(项目基本情况!$B$8="出让",SUMPRODUCT(PRODUCT(1+O6:$O$24)),SUMPRODUCT(PRODUCT(1+O6:$O$23))),4)</f>
        <v>1.0891</v>
      </c>
      <c r="W6" s="3181">
        <f t="shared" si="11"/>
        <v>0.98089999999999999</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105.77000000000001</v>
      </c>
      <c r="AG6" s="3456">
        <f t="shared" ref="AG6:AG23" si="31">$AF$24*S6</f>
        <v>102.75000000000001</v>
      </c>
      <c r="AH6" s="3456">
        <f t="shared" ref="AH6:AH23" si="32">$AF$24*T6</f>
        <v>98.09</v>
      </c>
      <c r="AI6" s="3456">
        <f t="shared" ref="AI6:AI23" si="33">$AF$24*U6</f>
        <v>106.89</v>
      </c>
      <c r="AJ6" s="3456">
        <f t="shared" ref="AJ6:AJ23" si="34">$AF$24*V6</f>
        <v>108.91</v>
      </c>
      <c r="AK6" s="3456">
        <f t="shared" ref="AK6:AK23" si="35">$AF$24*W6</f>
        <v>98.09</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2.75">
      <c r="A7" s="3184" t="s">
        <v>3396</v>
      </c>
      <c r="B7" s="3185">
        <v>2025</v>
      </c>
      <c r="C7" s="3186">
        <v>2</v>
      </c>
      <c r="D7" s="3187">
        <v>0.05</v>
      </c>
      <c r="E7" s="3187">
        <v>-0.62</v>
      </c>
      <c r="F7" s="3187">
        <v>-1.05</v>
      </c>
      <c r="G7" s="3187">
        <v>0.09</v>
      </c>
      <c r="H7" s="3188">
        <v>0.17</v>
      </c>
      <c r="I7" s="3189">
        <f t="shared" ref="I7" si="37">F7</f>
        <v>-1.05</v>
      </c>
      <c r="J7" s="3190"/>
      <c r="K7" s="3191">
        <f t="shared" ref="K7" si="38">D7/100</f>
        <v>5.0000000000000001E-4</v>
      </c>
      <c r="L7" s="3192">
        <f t="shared" ref="L7" si="39">E7/100</f>
        <v>-6.1999999999999998E-3</v>
      </c>
      <c r="M7" s="3192">
        <f t="shared" ref="M7" si="40">F7/100</f>
        <v>-1.0500000000000001E-2</v>
      </c>
      <c r="N7" s="3192">
        <f t="shared" ref="N7" si="41">G7/100</f>
        <v>8.9999999999999998E-4</v>
      </c>
      <c r="O7" s="3192">
        <f t="shared" ref="O7" si="42">H7/100</f>
        <v>1.7000000000000001E-3</v>
      </c>
      <c r="P7" s="3192">
        <f t="shared" si="10"/>
        <v>-1.0500000000000001E-2</v>
      </c>
      <c r="Q7" s="3190"/>
      <c r="R7" s="3190">
        <f>ROUND(IF(项目基本情况!$B$8="出让",SUMPRODUCT(PRODUCT(1+K7:$K$24)),SUMPRODUCT(PRODUCT(1+K7:$K$23))),4)</f>
        <v>1.0577000000000001</v>
      </c>
      <c r="S7" s="3190">
        <f>ROUND(IF(项目基本情况!$B$8="出让",SUMPRODUCT(PRODUCT(1+L7:$L$24)),SUMPRODUCT(PRODUCT(1+L7:$L$23))),4)</f>
        <v>1.0275000000000001</v>
      </c>
      <c r="T7" s="3190">
        <f>ROUND(IF(项目基本情况!$B$8="出让",SUMPRODUCT(PRODUCT(1+M7:$M$24)),SUMPRODUCT(PRODUCT(1+M7:$M$23))),4)</f>
        <v>0.98089999999999999</v>
      </c>
      <c r="U7" s="3190">
        <f>ROUND(IF(项目基本情况!$B$8="出让",SUMPRODUCT(PRODUCT(1+N7:$N$24)),SUMPRODUCT(PRODUCT(1+N7:$N$23))),4)</f>
        <v>1.0689</v>
      </c>
      <c r="V7" s="3190">
        <f>ROUND(IF(项目基本情况!$B$8="出让",SUMPRODUCT(PRODUCT(1+O7:$O$24)),SUMPRODUCT(PRODUCT(1+O7:$O$23))),4)</f>
        <v>1.0891</v>
      </c>
      <c r="W7" s="3190">
        <f t="shared" si="11"/>
        <v>0.98089999999999999</v>
      </c>
      <c r="X7" s="3190"/>
      <c r="Y7" s="3192">
        <f t="shared" si="12"/>
        <v>2.3E-3</v>
      </c>
      <c r="Z7" s="3192">
        <f t="shared" ref="Z7" si="43">IF(E7=0,0,ROUND(AVERAGE(E7:E20)/100,4))</f>
        <v>1E-3</v>
      </c>
      <c r="AA7" s="3192">
        <f t="shared" ref="AA7" si="44">IF(F7=0,0,ROUND(AVERAGE(F7:F20)/100,4))</f>
        <v>-1.9E-3</v>
      </c>
      <c r="AB7" s="3192">
        <f t="shared" ref="AB7" si="45">IF(G7=0,0,ROUND(AVERAGE(G7:G20)/100,4))</f>
        <v>2.8999999999999998E-3</v>
      </c>
      <c r="AC7" s="3192">
        <f t="shared" ref="AC7" si="46">IF(H7=0,0,ROUND(AVERAGE(H7:H20)/100,4))</f>
        <v>4.7000000000000002E-3</v>
      </c>
      <c r="AD7" s="3192">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2.75">
      <c r="A8" s="2204" t="s">
        <v>3404</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99.950024987506254</v>
      </c>
      <c r="AN8" s="3456">
        <f t="shared" si="49"/>
        <v>100.6238679814852</v>
      </c>
      <c r="AO8" s="3456">
        <f t="shared" si="50"/>
        <v>101.06114199090449</v>
      </c>
      <c r="AP8" s="3456">
        <f t="shared" si="51"/>
        <v>99.910080927165566</v>
      </c>
      <c r="AQ8" s="3456">
        <f t="shared" si="52"/>
        <v>99.830288509533787</v>
      </c>
      <c r="AR8" s="3456">
        <f t="shared" si="53"/>
        <v>101.06114199090449</v>
      </c>
    </row>
    <row r="9" spans="1:44" s="3183" customFormat="1" ht="12.75">
      <c r="A9" s="2204" t="s">
        <v>3403</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99.383538816253605</v>
      </c>
      <c r="AN9" s="3456">
        <f t="shared" si="49"/>
        <v>101.20071204011386</v>
      </c>
      <c r="AO9" s="3456">
        <f t="shared" si="50"/>
        <v>101.97895256398031</v>
      </c>
      <c r="AP9" s="3456">
        <f t="shared" si="51"/>
        <v>98.80348192955455</v>
      </c>
      <c r="AQ9" s="3456">
        <f t="shared" si="52"/>
        <v>99.412754938790869</v>
      </c>
      <c r="AR9" s="3456">
        <f t="shared" si="53"/>
        <v>101.97895256398031</v>
      </c>
    </row>
    <row r="10" spans="1:44" s="3183" customFormat="1" ht="12.75">
      <c r="A10" s="2204" t="s">
        <v>3376</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100.40769732900949</v>
      </c>
      <c r="AN10" s="3456">
        <f t="shared" si="49"/>
        <v>101.68881836828162</v>
      </c>
      <c r="AO10" s="3456">
        <f t="shared" si="50"/>
        <v>102.74957437176857</v>
      </c>
      <c r="AP10" s="3456">
        <f t="shared" si="51"/>
        <v>99.851927164784783</v>
      </c>
      <c r="AQ10" s="3456">
        <f t="shared" si="52"/>
        <v>99.333288308144361</v>
      </c>
      <c r="AR10" s="3456">
        <f t="shared" si="53"/>
        <v>102.74957437176857</v>
      </c>
    </row>
    <row r="11" spans="1:44" s="3183" customFormat="1" ht="12.75">
      <c r="A11" s="3174" t="s">
        <v>3370</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101.61693890194262</v>
      </c>
      <c r="AN11" s="3456">
        <f t="shared" si="49"/>
        <v>102.16901272810371</v>
      </c>
      <c r="AO11" s="3456">
        <f t="shared" si="50"/>
        <v>103.04841477461495</v>
      </c>
      <c r="AP11" s="3456">
        <f t="shared" si="51"/>
        <v>100.59634008138704</v>
      </c>
      <c r="AQ11" s="3456">
        <f t="shared" si="52"/>
        <v>99.542327195254401</v>
      </c>
      <c r="AR11" s="3456">
        <f t="shared" si="53"/>
        <v>103.04841477461495</v>
      </c>
    </row>
    <row r="12" spans="1:44" s="3183" customFormat="1" ht="12.75">
      <c r="A12" s="3174" t="s">
        <v>3369</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102.22003712095626</v>
      </c>
      <c r="AN12" s="3456">
        <f t="shared" si="49"/>
        <v>102.38401916835726</v>
      </c>
      <c r="AO12" s="3456">
        <f t="shared" si="50"/>
        <v>104.49038204686165</v>
      </c>
      <c r="AP12" s="3456">
        <f t="shared" si="51"/>
        <v>101.85939659921733</v>
      </c>
      <c r="AQ12" s="3456">
        <f t="shared" si="52"/>
        <v>99.205030092938401</v>
      </c>
      <c r="AR12" s="3456">
        <f t="shared" si="53"/>
        <v>104.49038204686165</v>
      </c>
    </row>
    <row r="13" spans="1:44" s="3183" customFormat="1" ht="12.75">
      <c r="A13" s="3174" t="s">
        <v>3365</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102.13832645978844</v>
      </c>
      <c r="AN13" s="3456">
        <f t="shared" si="49"/>
        <v>101.91520920600962</v>
      </c>
      <c r="AO13" s="3456">
        <f t="shared" si="50"/>
        <v>104.65783458219317</v>
      </c>
      <c r="AP13" s="3456">
        <f t="shared" si="51"/>
        <v>101.5952489519423</v>
      </c>
      <c r="AQ13" s="3456">
        <f t="shared" si="52"/>
        <v>98.623153487362956</v>
      </c>
      <c r="AR13" s="3456">
        <f t="shared" si="53"/>
        <v>104.65783458219317</v>
      </c>
    </row>
    <row r="14" spans="1:44" s="3183" customFormat="1" ht="12.75">
      <c r="A14" s="3174" t="s">
        <v>3364</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101.94463165963514</v>
      </c>
      <c r="AN14" s="3456">
        <f t="shared" si="49"/>
        <v>101.67119833001759</v>
      </c>
      <c r="AO14" s="3456">
        <f t="shared" si="50"/>
        <v>104.8255554709467</v>
      </c>
      <c r="AP14" s="3456">
        <f t="shared" si="51"/>
        <v>101.4228301407031</v>
      </c>
      <c r="AQ14" s="3456">
        <f t="shared" si="52"/>
        <v>98.025199768773433</v>
      </c>
      <c r="AR14" s="3456">
        <f t="shared" si="53"/>
        <v>104.8255554709467</v>
      </c>
    </row>
    <row r="15" spans="1:44" s="3183" customFormat="1" ht="12.75">
      <c r="A15" s="3174" t="s">
        <v>3362</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101.69040564552134</v>
      </c>
      <c r="AN15" s="3456">
        <f t="shared" si="49"/>
        <v>101.16537147265433</v>
      </c>
      <c r="AO15" s="3456">
        <f t="shared" si="50"/>
        <v>104.50160050936765</v>
      </c>
      <c r="AP15" s="3456">
        <f t="shared" si="51"/>
        <v>101.21028853478006</v>
      </c>
      <c r="AQ15" s="3456">
        <f t="shared" si="52"/>
        <v>97.605496135391249</v>
      </c>
      <c r="AR15" s="3456">
        <f t="shared" si="53"/>
        <v>104.50160050936765</v>
      </c>
    </row>
    <row r="16" spans="1:44" s="3183" customFormat="1" ht="12.75">
      <c r="A16" s="3174" t="s">
        <v>3361</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100.77336799675089</v>
      </c>
      <c r="AN16" s="3456">
        <f t="shared" si="49"/>
        <v>100.50205789057652</v>
      </c>
      <c r="AO16" s="3456">
        <f t="shared" si="50"/>
        <v>104.01274062841411</v>
      </c>
      <c r="AP16" s="3456">
        <f t="shared" si="51"/>
        <v>100.24790861210386</v>
      </c>
      <c r="AQ16" s="3456">
        <f t="shared" si="52"/>
        <v>96.917382718092782</v>
      </c>
      <c r="AR16" s="3456">
        <f t="shared" si="53"/>
        <v>104.01274062841411</v>
      </c>
    </row>
    <row r="17" spans="1:44" s="3183" customFormat="1" ht="12.75">
      <c r="A17" s="3174" t="s">
        <v>3360</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99.884396864655471</v>
      </c>
      <c r="AN17" s="3456">
        <f t="shared" si="49"/>
        <v>99.763805728187918</v>
      </c>
      <c r="AO17" s="3456">
        <f t="shared" si="50"/>
        <v>103.42322822751726</v>
      </c>
      <c r="AP17" s="3456">
        <f t="shared" si="51"/>
        <v>99.334035485635994</v>
      </c>
      <c r="AQ17" s="3456">
        <f t="shared" si="52"/>
        <v>96.435206684669438</v>
      </c>
      <c r="AR17" s="3456">
        <f t="shared" si="53"/>
        <v>103.42322822751726</v>
      </c>
    </row>
    <row r="18" spans="1:44" s="3183" customFormat="1" ht="12.75">
      <c r="A18" s="3174" t="s">
        <v>3358</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99.268929501744651</v>
      </c>
      <c r="AN18" s="3456">
        <f t="shared" si="49"/>
        <v>99.564676375437045</v>
      </c>
      <c r="AO18" s="3456">
        <f t="shared" si="50"/>
        <v>103.30958768106807</v>
      </c>
      <c r="AP18" s="3456">
        <f t="shared" si="51"/>
        <v>98.653327525708619</v>
      </c>
      <c r="AQ18" s="3456">
        <f t="shared" si="52"/>
        <v>95.926794672903043</v>
      </c>
      <c r="AR18" s="3456">
        <f t="shared" si="53"/>
        <v>103.30958768106807</v>
      </c>
    </row>
    <row r="19" spans="1:44" s="3183" customFormat="1" ht="12.75">
      <c r="A19" s="3174" t="s">
        <v>3349</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98.618050369307227</v>
      </c>
      <c r="AN19" s="3456">
        <f t="shared" si="49"/>
        <v>99.247085701193214</v>
      </c>
      <c r="AO19" s="3456">
        <f t="shared" si="50"/>
        <v>103.07252088303709</v>
      </c>
      <c r="AP19" s="3456">
        <f t="shared" si="51"/>
        <v>97.948101197089571</v>
      </c>
      <c r="AQ19" s="3456">
        <f t="shared" si="52"/>
        <v>95.326239364904154</v>
      </c>
      <c r="AR19" s="3456">
        <f t="shared" si="53"/>
        <v>103.07252088303709</v>
      </c>
    </row>
    <row r="20" spans="1:44" s="3183" customFormat="1" ht="12.75">
      <c r="A20" s="3174" t="s">
        <v>2816</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97.709353382846743</v>
      </c>
      <c r="AN20" s="3456">
        <f t="shared" si="49"/>
        <v>99.098438044127022</v>
      </c>
      <c r="AO20" s="3456">
        <f t="shared" si="50"/>
        <v>103.06221466157093</v>
      </c>
      <c r="AP20" s="3456">
        <f t="shared" si="51"/>
        <v>96.930332703700714</v>
      </c>
      <c r="AQ20" s="3456">
        <f t="shared" si="52"/>
        <v>94.307716031761146</v>
      </c>
      <c r="AR20" s="3456">
        <f t="shared" si="53"/>
        <v>103.06221466157093</v>
      </c>
    </row>
    <row r="21" spans="1:44" s="3183" customFormat="1" ht="12.75">
      <c r="A21" s="3174" t="s">
        <v>2817</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96.847411421198089</v>
      </c>
      <c r="AN21" s="3456">
        <f t="shared" si="49"/>
        <v>98.664315057872386</v>
      </c>
      <c r="AO21" s="3456">
        <f t="shared" si="50"/>
        <v>102.68229018787579</v>
      </c>
      <c r="AP21" s="3456">
        <f t="shared" si="51"/>
        <v>96.008649666898478</v>
      </c>
      <c r="AQ21" s="3456">
        <f t="shared" si="52"/>
        <v>93.70798492822054</v>
      </c>
      <c r="AR21" s="3456">
        <f t="shared" si="53"/>
        <v>102.68229018787579</v>
      </c>
    </row>
    <row r="22" spans="1:44" s="3183" customFormat="1" ht="12.75">
      <c r="A22" s="3174" t="s">
        <v>2818</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95.860052876569426</v>
      </c>
      <c r="AN22" s="3456">
        <f t="shared" si="49"/>
        <v>98.428087647518353</v>
      </c>
      <c r="AO22" s="3456">
        <f t="shared" si="50"/>
        <v>102.61046286387109</v>
      </c>
      <c r="AP22" s="3456">
        <f t="shared" si="51"/>
        <v>94.898339099435077</v>
      </c>
      <c r="AQ22" s="3456">
        <f t="shared" si="52"/>
        <v>93.195410172273029</v>
      </c>
      <c r="AR22" s="3456">
        <f t="shared" si="53"/>
        <v>102.61046286387109</v>
      </c>
    </row>
    <row r="23" spans="1:44" s="3183" customFormat="1" ht="12.75">
      <c r="A23" s="3174" t="s">
        <v>2819</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95.411618270697161</v>
      </c>
      <c r="AN23" s="3456">
        <f t="shared" si="49"/>
        <v>98.02618030825451</v>
      </c>
      <c r="AO23" s="3456">
        <f t="shared" si="50"/>
        <v>102.36478737417308</v>
      </c>
      <c r="AP23" s="3456">
        <f t="shared" si="51"/>
        <v>94.445003084628866</v>
      </c>
      <c r="AQ23" s="3456">
        <f t="shared" si="52"/>
        <v>92.750209168265357</v>
      </c>
      <c r="AR23" s="3456">
        <f t="shared" si="53"/>
        <v>102.36478737417308</v>
      </c>
    </row>
    <row r="24" spans="1:44" s="3205" customFormat="1" ht="14.25" thickBot="1">
      <c r="A24" s="3195" t="s">
        <v>2820</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94.541833403386008</v>
      </c>
      <c r="AN24" s="3463">
        <f t="shared" si="49"/>
        <v>97.325437160697476</v>
      </c>
      <c r="AO24" s="3463">
        <f t="shared" si="50"/>
        <v>101.94680547173894</v>
      </c>
      <c r="AP24" s="3463">
        <f t="shared" si="51"/>
        <v>93.556219004090011</v>
      </c>
      <c r="AQ24" s="3463">
        <f t="shared" si="52"/>
        <v>91.82279889938161</v>
      </c>
      <c r="AR24" s="3463">
        <f t="shared" si="53"/>
        <v>101.94680547173894</v>
      </c>
    </row>
    <row r="25" spans="1:44" s="3007" customFormat="1" ht="14.25" thickTop="1"/>
    <row r="26" spans="1:44" s="3007" customFormat="1">
      <c r="A26" s="3446" t="s">
        <v>3375</v>
      </c>
    </row>
    <row r="27" spans="1:44" s="3007" customFormat="1">
      <c r="I27" s="3206" t="s">
        <v>2821</v>
      </c>
    </row>
    <row r="28" spans="1:44" s="3007" customFormat="1"/>
    <row r="29" spans="1:44" s="3207" customFormat="1" ht="12.75">
      <c r="B29" s="3208" t="s">
        <v>3373</v>
      </c>
      <c r="C29" s="3209"/>
      <c r="D29" s="3209"/>
      <c r="E29" s="3209"/>
      <c r="F29" s="3209"/>
      <c r="G29" s="3209"/>
      <c r="H29" s="3209"/>
      <c r="I29" s="3209"/>
      <c r="J29" s="3163"/>
      <c r="K29" s="3209" t="s">
        <v>2822</v>
      </c>
      <c r="L29" s="3209"/>
      <c r="M29" s="3209"/>
      <c r="N29" s="3209"/>
      <c r="O29" s="3209"/>
      <c r="P29" s="3209"/>
      <c r="Q29" s="3163"/>
      <c r="R29" s="3826" t="s">
        <v>2823</v>
      </c>
      <c r="S29" s="3827"/>
      <c r="T29" s="3827"/>
      <c r="U29" s="3827"/>
      <c r="V29" s="3827"/>
      <c r="W29" s="3827"/>
      <c r="X29" s="3163"/>
      <c r="Y29" s="3826" t="s">
        <v>2824</v>
      </c>
      <c r="Z29" s="3827"/>
      <c r="AA29" s="3827"/>
      <c r="AB29" s="3827"/>
      <c r="AC29" s="3827"/>
      <c r="AD29" s="3827"/>
    </row>
    <row r="30" spans="1:44" s="3141" customFormat="1" ht="14.25" thickBot="1">
      <c r="B30" s="3142"/>
      <c r="C30" s="3143"/>
      <c r="D30" s="3144" t="s">
        <v>2825</v>
      </c>
      <c r="E30" s="3145" t="s">
        <v>2826</v>
      </c>
      <c r="F30" s="3145" t="s">
        <v>2827</v>
      </c>
      <c r="G30" s="3145" t="s">
        <v>2828</v>
      </c>
      <c r="H30" s="3145"/>
      <c r="I30" s="3145" t="s">
        <v>2829</v>
      </c>
      <c r="J30" s="3146"/>
      <c r="K30" s="3144" t="s">
        <v>2825</v>
      </c>
      <c r="L30" s="3145" t="s">
        <v>2826</v>
      </c>
      <c r="M30" s="3145" t="s">
        <v>2827</v>
      </c>
      <c r="N30" s="3145" t="s">
        <v>2828</v>
      </c>
      <c r="O30" s="3145"/>
      <c r="P30" s="3145" t="s">
        <v>2829</v>
      </c>
      <c r="Q30" s="3146"/>
      <c r="R30" s="3144" t="s">
        <v>2825</v>
      </c>
      <c r="S30" s="3145" t="s">
        <v>2826</v>
      </c>
      <c r="T30" s="3145" t="s">
        <v>2827</v>
      </c>
      <c r="U30" s="3145" t="s">
        <v>2828</v>
      </c>
      <c r="V30" s="3145"/>
      <c r="W30" s="3145" t="s">
        <v>2829</v>
      </c>
      <c r="X30" s="3146"/>
      <c r="Y30" s="3144" t="s">
        <v>2825</v>
      </c>
      <c r="Z30" s="3145" t="s">
        <v>2826</v>
      </c>
      <c r="AA30" s="3145" t="s">
        <v>2827</v>
      </c>
      <c r="AB30" s="3145" t="s">
        <v>2828</v>
      </c>
      <c r="AC30" s="3145"/>
      <c r="AD30" s="3145" t="s">
        <v>2829</v>
      </c>
      <c r="AG30" t="s">
        <v>673</v>
      </c>
      <c r="AH30" t="s">
        <v>21</v>
      </c>
      <c r="AI30" t="s">
        <v>3400</v>
      </c>
      <c r="AJ30"/>
      <c r="AK30" t="s">
        <v>3401</v>
      </c>
      <c r="AN30" t="s">
        <v>673</v>
      </c>
      <c r="AO30" t="s">
        <v>21</v>
      </c>
      <c r="AP30" t="s">
        <v>3400</v>
      </c>
      <c r="AQ30"/>
      <c r="AR30" t="s">
        <v>3401</v>
      </c>
    </row>
    <row r="31" spans="1:44" s="3159" customFormat="1" ht="12.75">
      <c r="A31" s="3147" t="s">
        <v>2830</v>
      </c>
      <c r="B31" s="3148"/>
      <c r="C31" s="3149"/>
      <c r="D31" s="3149"/>
      <c r="E31" s="3149">
        <f t="shared" ref="E31:G31" si="115">ROUND(AVERAGEIF(E32:E52,"&lt;&gt;0"),2)</f>
        <v>0.09</v>
      </c>
      <c r="F31" s="3149">
        <f t="shared" si="115"/>
        <v>0.01</v>
      </c>
      <c r="G31" s="3149">
        <f t="shared" si="115"/>
        <v>0.24</v>
      </c>
      <c r="H31" s="3149"/>
      <c r="I31" s="3149">
        <f>F31</f>
        <v>0.01</v>
      </c>
      <c r="J31" s="3150"/>
      <c r="K31" s="3151"/>
      <c r="L31" s="3152">
        <f t="shared" ref="L31:N31" si="116">ROUND(AVERAGEIF(L32:L52,"&lt;&gt;0"),4)</f>
        <v>8.9999999999999998E-4</v>
      </c>
      <c r="M31" s="3152">
        <f t="shared" si="116"/>
        <v>1E-4</v>
      </c>
      <c r="N31" s="3152">
        <f t="shared" si="116"/>
        <v>2.3999999999999998E-3</v>
      </c>
      <c r="O31" s="3152"/>
      <c r="P31" s="3152">
        <f>M31</f>
        <v>1E-4</v>
      </c>
      <c r="Q31" s="3150"/>
      <c r="R31" s="3153"/>
      <c r="S31" s="3154">
        <f>ROUND(SUMPRODUCT(PRODUCT(1+L32:L52)),4)</f>
        <v>1.0153000000000001</v>
      </c>
      <c r="T31" s="3154">
        <f t="shared" ref="T31:U31" si="117">ROUND(SUMPRODUCT(PRODUCT(1+M32:M52)),4)</f>
        <v>1.0016</v>
      </c>
      <c r="U31" s="3154">
        <f t="shared" si="117"/>
        <v>1.044</v>
      </c>
      <c r="V31" s="3154"/>
      <c r="W31" s="3153">
        <f>T31</f>
        <v>1.0016</v>
      </c>
      <c r="X31" s="3150"/>
      <c r="Y31" s="3155"/>
      <c r="Z31" s="3156">
        <f t="shared" ref="Z31:AB31" si="118">ROUND(AVERAGEIF(Z32:Z52,"&lt;&gt;0"),4)</f>
        <v>3.3E-3</v>
      </c>
      <c r="AA31" s="3157">
        <f t="shared" si="118"/>
        <v>2.7000000000000001E-3</v>
      </c>
      <c r="AB31" s="3155">
        <f t="shared" si="118"/>
        <v>6.4999999999999997E-3</v>
      </c>
      <c r="AC31" s="3158"/>
      <c r="AD31" s="3155">
        <f>AA31</f>
        <v>2.7000000000000001E-3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3398</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1.0118</v>
      </c>
      <c r="T33" s="3181">
        <f>ROUND(IF(项目基本情况!$B$8="出让",SUMPRODUCT(PRODUCT(1+M33:M$52)),SUMPRODUCT(PRODUCT(1+M33:M$51))),4)</f>
        <v>0.99680000000000002</v>
      </c>
      <c r="U33" s="3181">
        <f>ROUND(IF(项目基本情况!$B$8="出让",SUMPRODUCT(PRODUCT(1+N33:N$52)),SUMPRODUCT(PRODUCT(1+N33:N$51))),4)</f>
        <v>1.0338000000000001</v>
      </c>
      <c r="V33" s="3181"/>
      <c r="W33" s="3181">
        <f t="shared" ref="W33:W39" si="124">T33</f>
        <v>0.99680000000000002</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101.18</v>
      </c>
      <c r="AH33" s="3456">
        <f t="shared" ref="AH33:AH50" si="130">$AG$52*T33</f>
        <v>99.68</v>
      </c>
      <c r="AI33" s="3456">
        <f t="shared" ref="AI33:AI50" si="131">$AG$52*U33</f>
        <v>103.38000000000001</v>
      </c>
      <c r="AJ33" s="3458"/>
      <c r="AK33" s="3456">
        <f t="shared" ref="AK33:AK50" si="132">$AG$52*W33</f>
        <v>99.68</v>
      </c>
      <c r="AN33" s="3461">
        <v>100</v>
      </c>
      <c r="AO33" s="3461">
        <v>100</v>
      </c>
      <c r="AP33" s="3461">
        <v>100</v>
      </c>
      <c r="AQ33" s="3461"/>
      <c r="AR33" s="3461">
        <v>100</v>
      </c>
    </row>
    <row r="34" spans="1:44" s="3183" customFormat="1" ht="12.75">
      <c r="A34" s="2204" t="s">
        <v>3397</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1.0118</v>
      </c>
      <c r="T34" s="3181">
        <f>ROUND(IF(项目基本情况!$B$8="出让",SUMPRODUCT(PRODUCT(1+M34:M$52)),SUMPRODUCT(PRODUCT(1+M34:M$51))),4)</f>
        <v>0.99680000000000002</v>
      </c>
      <c r="U34" s="3181">
        <f>ROUND(IF(项目基本情况!$B$8="出让",SUMPRODUCT(PRODUCT(1+N34:N$52)),SUMPRODUCT(PRODUCT(1+N34:N$51))),4)</f>
        <v>1.0338000000000001</v>
      </c>
      <c r="V34" s="3181"/>
      <c r="W34" s="3181">
        <f t="shared" si="124"/>
        <v>0.99680000000000002</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101.18</v>
      </c>
      <c r="AH34" s="3456">
        <f t="shared" si="130"/>
        <v>99.68</v>
      </c>
      <c r="AI34" s="3456">
        <f t="shared" si="131"/>
        <v>103.38000000000001</v>
      </c>
      <c r="AJ34" s="3458"/>
      <c r="AK34" s="3456">
        <f t="shared" si="132"/>
        <v>99.68</v>
      </c>
      <c r="AN34" s="3456">
        <f>AN33/(1+E33/100)</f>
        <v>100</v>
      </c>
      <c r="AO34" s="3456">
        <f t="shared" ref="AO34:AR34" si="140">AO33/(1+F33/100)</f>
        <v>100</v>
      </c>
      <c r="AP34" s="3456">
        <f t="shared" si="140"/>
        <v>100</v>
      </c>
      <c r="AQ34" s="3456"/>
      <c r="AR34" s="3456">
        <f t="shared" si="140"/>
        <v>100</v>
      </c>
    </row>
    <row r="35" spans="1:44" s="3193" customFormat="1" ht="12.75">
      <c r="A35" s="3184" t="s">
        <v>3405</v>
      </c>
      <c r="B35" s="3185">
        <v>2025</v>
      </c>
      <c r="C35" s="3186">
        <v>2</v>
      </c>
      <c r="D35" s="3187"/>
      <c r="E35" s="3187">
        <v>-0.31</v>
      </c>
      <c r="F35" s="3187">
        <v>-1.03</v>
      </c>
      <c r="G35" s="3187">
        <v>0.03</v>
      </c>
      <c r="H35" s="3188"/>
      <c r="I35" s="3189">
        <f t="shared" ref="I35" si="141">F35</f>
        <v>-1.03</v>
      </c>
      <c r="J35" s="3190"/>
      <c r="K35" s="3191"/>
      <c r="L35" s="3192">
        <f t="shared" ref="L35" si="142">E35/100</f>
        <v>-3.0999999999999999E-3</v>
      </c>
      <c r="M35" s="3192">
        <f t="shared" ref="M35" si="143">F35/100</f>
        <v>-1.03E-2</v>
      </c>
      <c r="N35" s="3192">
        <f t="shared" ref="N35" si="144">G35/100</f>
        <v>2.9999999999999997E-4</v>
      </c>
      <c r="O35" s="3192"/>
      <c r="P35" s="3192">
        <f t="shared" si="123"/>
        <v>-1.03E-2</v>
      </c>
      <c r="Q35" s="3190"/>
      <c r="R35" s="3190"/>
      <c r="S35" s="3190">
        <f>ROUND(IF(项目基本情况!$B$8="出让",SUMPRODUCT(PRODUCT(1+L35:L$52)),SUMPRODUCT(PRODUCT(1+L35:L$51))),4)</f>
        <v>1.0118</v>
      </c>
      <c r="T35" s="3190">
        <f>ROUND(IF(项目基本情况!$B$8="出让",SUMPRODUCT(PRODUCT(1+M35:M$52)),SUMPRODUCT(PRODUCT(1+M35:M$51))),4)</f>
        <v>0.99680000000000002</v>
      </c>
      <c r="U35" s="3190">
        <f>ROUND(IF(项目基本情况!$B$8="出让",SUMPRODUCT(PRODUCT(1+N35:N$52)),SUMPRODUCT(PRODUCT(1+N35:N$51))),4)</f>
        <v>1.0338000000000001</v>
      </c>
      <c r="V35" s="3190"/>
      <c r="W35" s="3190">
        <f t="shared" si="124"/>
        <v>0.99680000000000002</v>
      </c>
      <c r="X35" s="3190"/>
      <c r="Y35" s="3192"/>
      <c r="Z35" s="3213">
        <f t="shared" ref="Z35" si="145">IF(E35=0,0,ROUND(AVERAGE(E35:E48)/100,4))</f>
        <v>-2.9999999999999997E-4</v>
      </c>
      <c r="AA35" s="3214">
        <f t="shared" ref="AA35" si="146">IF(F35=0,0,ROUND(AVERAGE(F35:F48)/100,4))</f>
        <v>-8.0000000000000004E-4</v>
      </c>
      <c r="AB35" s="3192">
        <f t="shared" ref="AB35" si="147">IF(G35=0,0,ROUND(AVERAGE(G35:G48)/100,4))</f>
        <v>5.0000000000000001E-4</v>
      </c>
      <c r="AC35" s="3215"/>
      <c r="AD35" s="3192">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2.75">
      <c r="A36" s="2204" t="s">
        <v>3402</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100.31096398836392</v>
      </c>
      <c r="AO36" s="3456">
        <f t="shared" ref="AO36:AO52" si="159">AO35/(1+F35/100)</f>
        <v>101.04071940992219</v>
      </c>
      <c r="AP36" s="3456">
        <f t="shared" ref="AP36:AP52" si="160">AP35/(1+G35/100)</f>
        <v>99.970008997300809</v>
      </c>
      <c r="AQ36" s="3456"/>
      <c r="AR36" s="3456">
        <f t="shared" ref="AR36:AR52" si="161">AR35/(1+I35/100)</f>
        <v>101.04071940992219</v>
      </c>
    </row>
    <row r="37" spans="1:44" s="3183" customFormat="1" ht="12.75">
      <c r="A37" s="2204" t="s">
        <v>3403</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101.80753474917682</v>
      </c>
      <c r="AO37" s="3456">
        <f t="shared" si="159"/>
        <v>102.04071845073943</v>
      </c>
      <c r="AP37" s="3456">
        <f t="shared" si="160"/>
        <v>100.48246959222114</v>
      </c>
      <c r="AQ37" s="3456"/>
      <c r="AR37" s="3456">
        <f t="shared" si="161"/>
        <v>102.04071845073943</v>
      </c>
    </row>
    <row r="38" spans="1:44" s="3183" customFormat="1" ht="12.75">
      <c r="A38" s="2204" t="s">
        <v>3367</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102.4323722197171</v>
      </c>
      <c r="AO38" s="3456">
        <f t="shared" si="159"/>
        <v>102.7703882070092</v>
      </c>
      <c r="AP38" s="3456">
        <f t="shared" si="160"/>
        <v>101.37456577100599</v>
      </c>
      <c r="AQ38" s="3456"/>
      <c r="AR38" s="3456">
        <f t="shared" si="161"/>
        <v>102.7703882070092</v>
      </c>
    </row>
    <row r="39" spans="1:44" s="3183" customFormat="1" ht="12.75">
      <c r="A39" s="3174" t="s">
        <v>3371</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103.11291747505244</v>
      </c>
      <c r="AO39" s="3456">
        <f t="shared" si="159"/>
        <v>103.30758766285605</v>
      </c>
      <c r="AP39" s="3456">
        <f t="shared" si="160"/>
        <v>104.36998432101923</v>
      </c>
      <c r="AQ39" s="3456"/>
      <c r="AR39" s="3456">
        <f t="shared" si="161"/>
        <v>103.30758766285605</v>
      </c>
    </row>
    <row r="40" spans="1:44" s="3183" customFormat="1" ht="12.75">
      <c r="A40" s="3174" t="s">
        <v>3368</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103.43356151575126</v>
      </c>
      <c r="AO40" s="3456">
        <f t="shared" si="159"/>
        <v>103.7120647152455</v>
      </c>
      <c r="AP40" s="3456">
        <f t="shared" si="160"/>
        <v>103.10183179000221</v>
      </c>
      <c r="AQ40" s="3456"/>
      <c r="AR40" s="3456">
        <f t="shared" si="161"/>
        <v>103.7120647152455</v>
      </c>
    </row>
    <row r="41" spans="1:44" s="3183" customFormat="1" ht="12.75">
      <c r="A41" s="3174" t="s">
        <v>3366</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103.17562245960227</v>
      </c>
      <c r="AO41" s="3456">
        <f t="shared" si="159"/>
        <v>103.29886923829234</v>
      </c>
      <c r="AP41" s="3456">
        <f t="shared" si="160"/>
        <v>103.75549138573231</v>
      </c>
      <c r="AQ41" s="3456"/>
      <c r="AR41" s="3456">
        <f t="shared" si="161"/>
        <v>103.29886923829234</v>
      </c>
    </row>
    <row r="42" spans="1:44" s="3183" customFormat="1" ht="12.75">
      <c r="A42" s="3174" t="s">
        <v>3364</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103.10345004457108</v>
      </c>
      <c r="AO42" s="3456">
        <f t="shared" si="159"/>
        <v>103.20598385282482</v>
      </c>
      <c r="AP42" s="3456">
        <f t="shared" si="160"/>
        <v>103.72437407351026</v>
      </c>
      <c r="AQ42" s="3456"/>
      <c r="AR42" s="3456">
        <f t="shared" si="161"/>
        <v>103.20598385282482</v>
      </c>
    </row>
    <row r="43" spans="1:44" s="3183" customFormat="1" ht="12.75">
      <c r="A43" s="3174" t="s">
        <v>3363</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102.74384658153569</v>
      </c>
      <c r="AO43" s="3456">
        <f t="shared" si="159"/>
        <v>103.03083143937786</v>
      </c>
      <c r="AP43" s="3456">
        <f t="shared" si="160"/>
        <v>103.18779752637312</v>
      </c>
      <c r="AQ43" s="3456"/>
      <c r="AR43" s="3456">
        <f t="shared" si="161"/>
        <v>103.03083143937786</v>
      </c>
    </row>
    <row r="44" spans="1:44" s="3183" customFormat="1" ht="12.75">
      <c r="A44" s="3174" t="s">
        <v>3361</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102.23268316570717</v>
      </c>
      <c r="AO44" s="3456">
        <f t="shared" si="159"/>
        <v>102.56926972561261</v>
      </c>
      <c r="AP44" s="3456">
        <f t="shared" si="160"/>
        <v>102.27752753134416</v>
      </c>
      <c r="AQ44" s="3456"/>
      <c r="AR44" s="3456">
        <f t="shared" si="161"/>
        <v>102.56926972561261</v>
      </c>
    </row>
    <row r="45" spans="1:44" s="3183" customFormat="1" ht="12.75">
      <c r="A45" s="3174" t="s">
        <v>3360</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101.67347903103646</v>
      </c>
      <c r="AO45" s="3456">
        <f t="shared" si="159"/>
        <v>101.96766052849449</v>
      </c>
      <c r="AP45" s="3456">
        <f t="shared" si="160"/>
        <v>101.62711400173308</v>
      </c>
      <c r="AQ45" s="3456"/>
      <c r="AR45" s="3456">
        <f t="shared" si="161"/>
        <v>101.96766052849449</v>
      </c>
    </row>
    <row r="46" spans="1:44" s="3183" customFormat="1" ht="12.75">
      <c r="A46" s="3174" t="s">
        <v>3359</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101.21799803985711</v>
      </c>
      <c r="AO46" s="3456">
        <f t="shared" si="159"/>
        <v>101.76413226396656</v>
      </c>
      <c r="AP46" s="3456">
        <f t="shared" si="160"/>
        <v>101.24239290868009</v>
      </c>
      <c r="AQ46" s="3456"/>
      <c r="AR46" s="3456">
        <f t="shared" si="161"/>
        <v>101.76413226396656</v>
      </c>
    </row>
    <row r="47" spans="1:44" s="3183" customFormat="1" ht="12.75">
      <c r="A47" s="3174" t="s">
        <v>3349</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100.9152522830081</v>
      </c>
      <c r="AO47" s="3456">
        <f t="shared" si="159"/>
        <v>101.46986964200475</v>
      </c>
      <c r="AP47" s="3456">
        <f t="shared" si="160"/>
        <v>100.40899822342566</v>
      </c>
      <c r="AQ47" s="3456"/>
      <c r="AR47" s="3456">
        <f t="shared" si="161"/>
        <v>101.46986964200475</v>
      </c>
    </row>
    <row r="48" spans="1:44" s="3183" customFormat="1" ht="12.75">
      <c r="A48" s="3174" t="s">
        <v>2831</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101.02638130244078</v>
      </c>
      <c r="AO48" s="3456">
        <f t="shared" si="159"/>
        <v>101.60195217983853</v>
      </c>
      <c r="AP48" s="3456">
        <f t="shared" si="160"/>
        <v>99.879636151820989</v>
      </c>
      <c r="AQ48" s="3456"/>
      <c r="AR48" s="3456">
        <f t="shared" si="161"/>
        <v>101.60195217983853</v>
      </c>
    </row>
    <row r="49" spans="1:44" s="3183" customFormat="1" ht="12.75">
      <c r="A49" s="3174" t="s">
        <v>2832</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100.42383827280396</v>
      </c>
      <c r="AO49" s="3456">
        <f t="shared" si="159"/>
        <v>101.14679161755951</v>
      </c>
      <c r="AP49" s="3456">
        <f t="shared" si="160"/>
        <v>99.353064907809596</v>
      </c>
      <c r="AQ49" s="3456"/>
      <c r="AR49" s="3456">
        <f t="shared" si="161"/>
        <v>101.14679161755951</v>
      </c>
    </row>
    <row r="50" spans="1:44" s="3183" customFormat="1" ht="12.75">
      <c r="A50" s="3174" t="s">
        <v>2833</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99.844738787834515</v>
      </c>
      <c r="AO50" s="3456">
        <f t="shared" si="159"/>
        <v>101.06593886646635</v>
      </c>
      <c r="AP50" s="3456">
        <f t="shared" si="160"/>
        <v>98.682027123370688</v>
      </c>
      <c r="AQ50" s="3456"/>
      <c r="AR50" s="3456">
        <f t="shared" si="161"/>
        <v>101.06593886646635</v>
      </c>
    </row>
    <row r="51" spans="1:44" s="3183" customFormat="1" ht="12.75">
      <c r="A51" s="3174" t="s">
        <v>2834</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99.377663768124336</v>
      </c>
      <c r="AO51" s="3456">
        <f t="shared" si="159"/>
        <v>100.78374438219622</v>
      </c>
      <c r="AP51" s="3456">
        <f t="shared" si="160"/>
        <v>97.7921188419093</v>
      </c>
      <c r="AQ51" s="3456"/>
      <c r="AR51" s="3456">
        <f t="shared" si="161"/>
        <v>100.78374438219622</v>
      </c>
    </row>
    <row r="52" spans="1:44" s="3205" customFormat="1" ht="14.25" thickBot="1">
      <c r="A52" s="3195" t="s">
        <v>2820</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98.83407634820918</v>
      </c>
      <c r="AO52" s="3463">
        <f t="shared" si="159"/>
        <v>100.32226197710156</v>
      </c>
      <c r="AP52" s="3463">
        <f t="shared" si="160"/>
        <v>96.728109635914251</v>
      </c>
      <c r="AQ52" s="3463"/>
      <c r="AR52" s="3463">
        <f t="shared" si="161"/>
        <v>100.32226197710156</v>
      </c>
    </row>
    <row r="53" spans="1:44" ht="14.25" thickTop="1"/>
    <row r="54" spans="1:44">
      <c r="A54" s="3446" t="s">
        <v>3374</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3" t="s">
        <v>452</v>
      </c>
      <c r="C1" s="3833"/>
      <c r="D1" s="3833"/>
      <c r="E1" s="3833"/>
      <c r="F1" s="3833"/>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2110</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2111</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2126</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2124</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2123</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2122</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2120</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2119</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2121</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2117</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2116</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2109</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2107</v>
      </c>
      <c r="B25" s="2219">
        <v>439</v>
      </c>
      <c r="C25" s="2219">
        <v>327</v>
      </c>
      <c r="D25" s="2219">
        <f>C25</f>
        <v>327</v>
      </c>
      <c r="E25" s="2219">
        <v>627</v>
      </c>
      <c r="F25" s="2220">
        <v>283</v>
      </c>
      <c r="G25" s="383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2108</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41" t="s">
        <v>2835</v>
      </c>
      <c r="B1" s="3841"/>
      <c r="C1" s="3841"/>
      <c r="D1" s="3841"/>
      <c r="E1" s="3841"/>
      <c r="F1" s="3841"/>
      <c r="G1" s="3842"/>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839" t="s">
        <v>2862</v>
      </c>
      <c r="B3" s="3228"/>
      <c r="C3" s="3229" t="s">
        <v>2807</v>
      </c>
      <c r="D3" s="3229" t="s">
        <v>2863</v>
      </c>
      <c r="E3" s="3229" t="s">
        <v>2809</v>
      </c>
      <c r="F3" s="3229" t="s">
        <v>2864</v>
      </c>
      <c r="G3" s="3229" t="s">
        <v>2627</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840"/>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45940</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45797</v>
      </c>
      <c r="D13" s="2820">
        <v>3</v>
      </c>
      <c r="E13" s="2820">
        <v>3</v>
      </c>
      <c r="F13" s="2820">
        <f t="shared" ref="F13:F18" si="0">D13</f>
        <v>3</v>
      </c>
      <c r="G13" s="2820">
        <f t="shared" ref="G13:G18" si="1">D13</f>
        <v>3</v>
      </c>
      <c r="H13" s="2820">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45586</v>
      </c>
      <c r="D14" s="2815">
        <v>3.1</v>
      </c>
      <c r="E14" s="2815">
        <f>D14</f>
        <v>3.1</v>
      </c>
      <c r="F14" s="2815">
        <f t="shared" si="0"/>
        <v>3.1</v>
      </c>
      <c r="G14" s="2815">
        <f t="shared" si="1"/>
        <v>3.1</v>
      </c>
      <c r="H14" s="2815">
        <v>3.6</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45495</v>
      </c>
      <c r="D15" s="2815">
        <v>3.35</v>
      </c>
      <c r="E15" s="2815">
        <f>D15</f>
        <v>3.35</v>
      </c>
      <c r="F15" s="2815">
        <f t="shared" si="0"/>
        <v>3.35</v>
      </c>
      <c r="G15" s="2815">
        <f t="shared" si="1"/>
        <v>3.35</v>
      </c>
      <c r="H15" s="2815">
        <v>3.85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45342</v>
      </c>
      <c r="D16" s="2815">
        <v>3.45</v>
      </c>
      <c r="E16" s="2815">
        <f>D16</f>
        <v>3.45</v>
      </c>
      <c r="F16" s="2815">
        <f t="shared" si="0"/>
        <v>3.45</v>
      </c>
      <c r="G16" s="2815">
        <f t="shared" si="1"/>
        <v>3.45</v>
      </c>
      <c r="H16" s="2815">
        <v>3.95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45159</v>
      </c>
      <c r="D17" s="2815">
        <v>3.45</v>
      </c>
      <c r="E17" s="2815">
        <f>D17</f>
        <v>3.45</v>
      </c>
      <c r="F17" s="2815">
        <f t="shared" si="0"/>
        <v>3.45</v>
      </c>
      <c r="G17" s="2815">
        <f t="shared" si="1"/>
        <v>3.45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44795</v>
      </c>
      <c r="D19" s="2815">
        <v>3.65</v>
      </c>
      <c r="E19" s="2815">
        <v>3.65</v>
      </c>
      <c r="F19" s="2815">
        <v>3.65</v>
      </c>
      <c r="G19" s="2815">
        <v>3.65</v>
      </c>
      <c r="H19" s="2815">
        <v>4.3</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44701</v>
      </c>
      <c r="D20" s="2815">
        <v>3.7</v>
      </c>
      <c r="E20" s="2815">
        <f>D20</f>
        <v>3.7</v>
      </c>
      <c r="F20" s="2815">
        <f>D20</f>
        <v>3.7</v>
      </c>
      <c r="G20" s="2815">
        <f>D20</f>
        <v>3.7</v>
      </c>
      <c r="H20" s="2815">
        <v>4.45</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6">
        <v>44581</v>
      </c>
      <c r="D21" s="2815">
        <v>3.7</v>
      </c>
      <c r="E21" s="2815">
        <f>D21</f>
        <v>3.7</v>
      </c>
      <c r="F21" s="2815">
        <f>D21</f>
        <v>3.7</v>
      </c>
      <c r="G21" s="2815">
        <f>D21</f>
        <v>3.7</v>
      </c>
      <c r="H21" s="2815">
        <v>4.5999999999999996</v>
      </c>
      <c r="I21" s="2820"/>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44550</v>
      </c>
      <c r="D22" s="2815">
        <v>3.8</v>
      </c>
      <c r="E22" s="2815">
        <f>D22</f>
        <v>3.8</v>
      </c>
      <c r="F22" s="2815">
        <f>D22</f>
        <v>3.8</v>
      </c>
      <c r="G22" s="2815">
        <f>D22</f>
        <v>3.8</v>
      </c>
      <c r="H22" s="2815">
        <v>4.6500000000000004</v>
      </c>
      <c r="I22" s="2815"/>
      <c r="J22" s="2820"/>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43941</v>
      </c>
      <c r="D23" s="2815">
        <v>3.85</v>
      </c>
      <c r="E23" s="2815">
        <v>3.85</v>
      </c>
      <c r="F23" s="2815">
        <v>3.85</v>
      </c>
      <c r="G23" s="2815">
        <v>3.85</v>
      </c>
      <c r="H23" s="2815">
        <v>4.6500000000000004</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43881</v>
      </c>
      <c r="D24" s="2815">
        <v>4.05</v>
      </c>
      <c r="E24" s="2815">
        <v>4.05</v>
      </c>
      <c r="F24" s="2815">
        <v>4.05</v>
      </c>
      <c r="G24" s="2815">
        <v>4.05</v>
      </c>
      <c r="H24" s="2815">
        <v>4.75</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43789</v>
      </c>
      <c r="D25" s="2815">
        <v>4.1500000000000004</v>
      </c>
      <c r="E25" s="2815">
        <v>4.1500000000000004</v>
      </c>
      <c r="F25" s="2815">
        <v>4.1500000000000004</v>
      </c>
      <c r="G25" s="2815">
        <v>4.1500000000000004</v>
      </c>
      <c r="H25" s="2815">
        <v>4.8</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5"/>
      <c r="C26" s="2816">
        <v>43728</v>
      </c>
      <c r="D26" s="2815">
        <v>4.2</v>
      </c>
      <c r="E26" s="2815">
        <v>4.2</v>
      </c>
      <c r="F26" s="2815">
        <v>4.2</v>
      </c>
      <c r="G26" s="2815">
        <v>4.2</v>
      </c>
      <c r="H26" s="2815">
        <v>4.8499999999999996</v>
      </c>
      <c r="I26" s="2815"/>
      <c r="J26" s="281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4" t="s">
        <v>2305</v>
      </c>
      <c r="C27" s="2817">
        <v>43697</v>
      </c>
      <c r="D27" s="2818">
        <v>4.25</v>
      </c>
      <c r="E27" s="2818">
        <v>4.25</v>
      </c>
      <c r="F27" s="2818">
        <v>4.25</v>
      </c>
      <c r="G27" s="2818">
        <v>4.25</v>
      </c>
      <c r="H27" s="2818">
        <v>4.8499999999999996</v>
      </c>
      <c r="I27" s="2818"/>
      <c r="J27" s="2818"/>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2"/>
      <c r="C28" s="2823">
        <v>42301</v>
      </c>
      <c r="D28" s="2824">
        <v>4.3499999999999996</v>
      </c>
      <c r="E28" s="2824">
        <v>4.3499999999999996</v>
      </c>
      <c r="F28" s="2824">
        <v>4.75</v>
      </c>
      <c r="G28" s="2824">
        <v>4.75</v>
      </c>
      <c r="H28" s="2824">
        <v>4.9000000000000004</v>
      </c>
      <c r="I28" s="2824"/>
      <c r="J28" s="2824"/>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40" workbookViewId="0">
      <selection activeCell="V67" sqref="V67"/>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8:O59"/>
  <sheetViews>
    <sheetView workbookViewId="0">
      <selection activeCell="A2" sqref="A2"/>
    </sheetView>
  </sheetViews>
  <sheetFormatPr defaultRowHeight="13.5"/>
  <sheetData>
    <row r="28" spans="15:15">
      <c r="O28" s="3498" t="s">
        <v>3500</v>
      </c>
    </row>
    <row r="30" spans="15:15">
      <c r="O30" s="3498" t="s">
        <v>3499</v>
      </c>
    </row>
    <row r="59" spans="15:15">
      <c r="O59" s="3498" t="s">
        <v>3501</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建筑物价值</v>
      </c>
      <c r="G2" s="3512"/>
      <c r="H2" s="3512" t="str">
        <f>IF(项目基本情况!B9="房地产市场价值","房地产市场价值","房地产价值")</f>
        <v>房地产价值</v>
      </c>
      <c r="I2" s="3512"/>
    </row>
    <row r="3" spans="1:9" ht="15">
      <c r="A3" s="3513"/>
      <c r="B3" s="3513"/>
      <c r="C3" s="3513"/>
      <c r="D3" s="853" t="s">
        <v>925</v>
      </c>
      <c r="E3" s="853" t="s">
        <v>931</v>
      </c>
      <c r="F3" s="853" t="s">
        <v>925</v>
      </c>
      <c r="G3" s="853" t="s">
        <v>926</v>
      </c>
      <c r="H3" s="853" t="s">
        <v>925</v>
      </c>
      <c r="I3" s="853" t="s">
        <v>926</v>
      </c>
    </row>
    <row r="4" spans="1:9" ht="45">
      <c r="A4" s="1504" t="str">
        <f>项目基本情况!S2</f>
        <v>北京市西城区金融大街27号7层A座701等[5]套办公用房房地产</v>
      </c>
      <c r="B4" s="853">
        <f>项目基本情况!C17</f>
        <v>571.24</v>
      </c>
      <c r="C4" s="853">
        <f>项目基本情况!C18</f>
        <v>62.48</v>
      </c>
      <c r="D4" s="853">
        <f ca="1">结果表!D118</f>
        <v>2455</v>
      </c>
      <c r="E4" s="853">
        <f ca="1">结果表!E118</f>
        <v>42969</v>
      </c>
      <c r="F4" s="853">
        <f ca="1">结果表!F118</f>
        <v>754</v>
      </c>
      <c r="G4" s="853">
        <f ca="1">结果表!G118</f>
        <v>13200</v>
      </c>
      <c r="H4" s="853">
        <f ca="1">结果表!H118</f>
        <v>3209</v>
      </c>
      <c r="I4" s="853">
        <f ca="1">结果表!I118</f>
        <v>56169</v>
      </c>
    </row>
    <row r="5" spans="1:9" ht="30" customHeight="1">
      <c r="A5" s="3513" t="s">
        <v>927</v>
      </c>
      <c r="B5" s="3513"/>
      <c r="C5" s="3513"/>
      <c r="D5" s="3513" t="str">
        <f ca="1">结果表!D119</f>
        <v>贰仟肆佰伍拾伍万元整</v>
      </c>
      <c r="E5" s="3513"/>
      <c r="F5" s="3513" t="str">
        <f ca="1">结果表!F119</f>
        <v>柒佰伍拾肆万元整</v>
      </c>
      <c r="G5" s="3513"/>
      <c r="H5" s="3513" t="str">
        <f ca="1">结果表!H119</f>
        <v>叁仟贰佰零玖万元整</v>
      </c>
      <c r="I5" s="3513"/>
    </row>
    <row r="6" spans="1:9" ht="15.75">
      <c r="A6" s="3514" t="str">
        <f>结果表!A120</f>
        <v>估价师知悉的法定优先受偿款</v>
      </c>
      <c r="B6" s="3514"/>
      <c r="C6" s="3514"/>
      <c r="D6" s="3514">
        <f>结果表!D120</f>
        <v>0</v>
      </c>
      <c r="E6" s="3514"/>
      <c r="F6" s="3514"/>
      <c r="G6" s="3514"/>
      <c r="H6" s="3514"/>
      <c r="I6" s="3514"/>
    </row>
    <row r="7" spans="1:9" ht="15">
      <c r="A7" s="3513" t="s">
        <v>927</v>
      </c>
      <c r="B7" s="3513"/>
      <c r="C7" s="3513"/>
      <c r="D7" s="3515" t="str">
        <f>结果表!D121</f>
        <v>零元整</v>
      </c>
      <c r="E7" s="3516"/>
      <c r="F7" s="3516"/>
      <c r="G7" s="3516"/>
      <c r="H7" s="3516"/>
      <c r="I7" s="3517"/>
    </row>
    <row r="8" spans="1:9" ht="15.75">
      <c r="A8" s="3514" t="str">
        <f>结果表!A122</f>
        <v>房地产抵押价值</v>
      </c>
      <c r="B8" s="3514"/>
      <c r="C8" s="3514"/>
      <c r="D8" s="3514">
        <f ca="1">结果表!D122</f>
        <v>3209</v>
      </c>
      <c r="E8" s="3514"/>
      <c r="F8" s="3514"/>
      <c r="G8" s="3514"/>
      <c r="H8" s="3514"/>
      <c r="I8" s="3514"/>
    </row>
    <row r="9" spans="1:9" ht="15">
      <c r="A9" s="3513" t="s">
        <v>927</v>
      </c>
      <c r="B9" s="3513"/>
      <c r="C9" s="3513"/>
      <c r="D9" s="3513" t="str">
        <f ca="1">结果表!D123</f>
        <v>叁仟贰佰零玖万元整</v>
      </c>
      <c r="E9" s="3513"/>
      <c r="F9" s="3513"/>
      <c r="G9" s="3513"/>
      <c r="H9" s="3513"/>
      <c r="I9" s="3513"/>
    </row>
    <row r="10" spans="1:9" ht="15.75">
      <c r="A10" s="3514" t="str">
        <f>结果表!A124</f>
        <v/>
      </c>
      <c r="B10" s="3514"/>
      <c r="C10" s="3514"/>
      <c r="D10" s="3514" t="str">
        <f>结果表!D124</f>
        <v>——</v>
      </c>
      <c r="E10" s="3514"/>
      <c r="F10" s="3514"/>
      <c r="G10" s="3514"/>
      <c r="H10" s="3514"/>
      <c r="I10" s="3514"/>
    </row>
    <row r="11" spans="1:9" ht="15">
      <c r="A11" s="3513" t="s">
        <v>927</v>
      </c>
      <c r="B11" s="3513"/>
      <c r="C11" s="3513"/>
      <c r="D11" s="3513" t="e">
        <f>结果表!D125</f>
        <v>#VALUE!</v>
      </c>
      <c r="E11" s="3513"/>
      <c r="F11" s="3513"/>
      <c r="G11" s="3513"/>
      <c r="H11" s="3513"/>
      <c r="I11" s="3513"/>
    </row>
    <row r="12" spans="1:9" ht="15.75">
      <c r="A12" s="3514" t="str">
        <f>结果表!A126</f>
        <v/>
      </c>
      <c r="B12" s="3514"/>
      <c r="C12" s="3514"/>
      <c r="D12" s="3514" t="str">
        <f>结果表!D126</f>
        <v>——</v>
      </c>
      <c r="E12" s="3514"/>
      <c r="F12" s="3514"/>
      <c r="G12" s="3514"/>
      <c r="H12" s="3514"/>
      <c r="I12" s="3514"/>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78" workbookViewId="0">
      <selection activeCell="A352" sqref="A352"/>
    </sheetView>
  </sheetViews>
  <sheetFormatPr defaultRowHeight="13.5"/>
  <cols>
    <col min="1" max="16384" width="9" style="3486"/>
  </cols>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0" t="s">
        <v>949</v>
      </c>
      <c r="B1" s="3520"/>
      <c r="C1" s="3520"/>
      <c r="D1" s="3520"/>
    </row>
    <row r="2" spans="1:4" ht="18">
      <c r="A2" s="3521" t="s">
        <v>933</v>
      </c>
      <c r="B2" s="3521"/>
      <c r="C2" s="3521"/>
      <c r="D2" s="352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1" t="s">
        <v>939</v>
      </c>
      <c r="B6" s="3521"/>
      <c r="C6" s="3521"/>
      <c r="D6" s="352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22"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23" t="str">
        <f>IF(项目基本情况!B8="抵押","4.本次评估估价师所知悉的法定优先受偿款情况说明如下：","——")</f>
        <v>4.本次评估估价师所知悉的法定优先受偿款情况说明如下：</v>
      </c>
      <c r="B14" s="3524"/>
      <c r="C14" s="3524"/>
      <c r="D14" s="3524"/>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6" t="s">
        <v>943</v>
      </c>
      <c r="B16" s="3526"/>
      <c r="C16" s="3526"/>
      <c r="D16" s="3526"/>
    </row>
    <row r="17" spans="1:4" ht="144" customHeight="1">
      <c r="A17" s="3526" t="s">
        <v>944</v>
      </c>
      <c r="B17" s="3526"/>
      <c r="C17" s="3526"/>
      <c r="D17" s="3526"/>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7"/>
      <c r="C21" s="3527"/>
      <c r="D21" s="3527"/>
    </row>
    <row r="22" spans="1:4" ht="18.75" customHeight="1">
      <c r="A22" s="3528" t="s">
        <v>945</v>
      </c>
      <c r="B22" s="3528"/>
      <c r="C22" s="3528"/>
      <c r="D22" s="352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5">
        <v>42551</v>
      </c>
      <c r="D31" s="35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4" t="s">
        <v>956</v>
      </c>
      <c r="B15" s="3529" t="s">
        <v>109</v>
      </c>
      <c r="C15" s="3530"/>
    </row>
    <row r="16" spans="1:7" ht="13.5">
      <c r="A16" s="3535"/>
      <c r="B16" s="3529" t="s">
        <v>42</v>
      </c>
      <c r="C16" s="3530"/>
    </row>
    <row r="17" spans="1:3" ht="13.5">
      <c r="A17" s="3535"/>
      <c r="B17" s="3532" t="s">
        <v>957</v>
      </c>
      <c r="C17" s="1531" t="s">
        <v>956</v>
      </c>
    </row>
    <row r="18" spans="1:3" ht="13.5">
      <c r="A18" s="3535"/>
      <c r="B18" s="3532"/>
      <c r="C18" s="1531" t="s">
        <v>958</v>
      </c>
    </row>
    <row r="19" spans="1:3" ht="13.5">
      <c r="A19" s="3535"/>
      <c r="B19" s="3532"/>
      <c r="C19" s="1531" t="s">
        <v>959</v>
      </c>
    </row>
    <row r="20" spans="1:3" ht="13.5">
      <c r="A20" s="3536"/>
      <c r="B20" s="3531" t="s">
        <v>960</v>
      </c>
      <c r="C20" s="3530"/>
    </row>
    <row r="21" spans="1:3" ht="13.5">
      <c r="A21" s="1532" t="s">
        <v>961</v>
      </c>
      <c r="B21" s="1533"/>
      <c r="C21" s="1534"/>
    </row>
    <row r="22" spans="1:3" ht="13.5">
      <c r="A22" s="3533" t="s">
        <v>962</v>
      </c>
      <c r="B22" s="3531" t="s">
        <v>963</v>
      </c>
      <c r="C22" s="3530"/>
    </row>
    <row r="23" spans="1:3" ht="13.5">
      <c r="A23" s="3533"/>
      <c r="B23" s="3531" t="s">
        <v>964</v>
      </c>
      <c r="C23" s="3530"/>
    </row>
    <row r="24" spans="1:3" ht="13.5">
      <c r="A24" s="3533"/>
      <c r="B24" s="3531" t="s">
        <v>965</v>
      </c>
      <c r="C24" s="3530"/>
    </row>
    <row r="25" spans="1:3" ht="13.5">
      <c r="A25" s="3533"/>
      <c r="B25" s="3532" t="s">
        <v>966</v>
      </c>
      <c r="C25" s="1531" t="s">
        <v>967</v>
      </c>
    </row>
    <row r="26" spans="1:3" ht="13.5">
      <c r="A26" s="3533"/>
      <c r="B26" s="3532"/>
      <c r="C26" s="1531" t="s">
        <v>968</v>
      </c>
    </row>
    <row r="27" spans="1:3" ht="13.5">
      <c r="A27" s="3533"/>
      <c r="B27" s="3532"/>
      <c r="C27" s="1531" t="s">
        <v>969</v>
      </c>
    </row>
    <row r="28" spans="1:3" ht="13.5">
      <c r="A28" s="3533"/>
      <c r="B28" s="3532"/>
      <c r="C28" s="1531" t="s">
        <v>970</v>
      </c>
    </row>
    <row r="29" spans="1:3" ht="13.5">
      <c r="A29" s="3533"/>
      <c r="B29" s="3532"/>
      <c r="C29" s="1531" t="s">
        <v>971</v>
      </c>
    </row>
    <row r="30" spans="1:3" ht="13.5">
      <c r="A30" s="3533"/>
      <c r="B30" s="3532"/>
      <c r="C30" s="1531" t="s">
        <v>972</v>
      </c>
    </row>
    <row r="31" spans="1:3" ht="13.5">
      <c r="A31" s="3533"/>
      <c r="B31" s="3532"/>
      <c r="C31" s="1531" t="s">
        <v>973</v>
      </c>
    </row>
    <row r="32" spans="1:3" ht="13.5">
      <c r="A32" s="3533"/>
      <c r="B32" s="3532"/>
      <c r="C32" s="1531" t="s">
        <v>974</v>
      </c>
    </row>
    <row r="33" spans="1:3" ht="13.5">
      <c r="A33" s="3533"/>
      <c r="B33" s="353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2135</v>
      </c>
      <c r="B2" s="2338">
        <f ca="1">TODAY()</f>
        <v>45943</v>
      </c>
      <c r="C2" s="2339" t="s">
        <v>2136</v>
      </c>
      <c r="D2" s="2339"/>
      <c r="E2" s="2339"/>
      <c r="F2" s="2335"/>
      <c r="G2" s="2335"/>
      <c r="H2" s="2335"/>
    </row>
    <row r="3" spans="1:8" ht="24" customHeight="1">
      <c r="A3" s="2340" t="s">
        <v>2137</v>
      </c>
      <c r="B3" s="2341" t="s">
        <v>2138</v>
      </c>
      <c r="C3" s="2341" t="s">
        <v>2139</v>
      </c>
      <c r="D3" s="2342" t="s">
        <v>2140</v>
      </c>
      <c r="E3" s="2343" t="s">
        <v>2141</v>
      </c>
      <c r="F3" s="1303" t="s">
        <v>2142</v>
      </c>
      <c r="G3" s="2341" t="s">
        <v>2139</v>
      </c>
      <c r="H3" s="2342" t="s">
        <v>2143</v>
      </c>
    </row>
    <row r="4" spans="1:8" ht="24" customHeight="1">
      <c r="A4" s="1303" t="s">
        <v>2144</v>
      </c>
      <c r="B4" s="1303" t="str">
        <f ca="1">IF(C4&lt;B2,"已过期",1119970066)</f>
        <v>已过期</v>
      </c>
      <c r="C4" s="2344">
        <v>45937</v>
      </c>
      <c r="D4" s="2345" t="str">
        <f ca="1">A4&amp;"（注册号："&amp;B4&amp;"）"</f>
        <v>梁津（注册号：已过期）</v>
      </c>
      <c r="E4" s="2346" t="s">
        <v>2144</v>
      </c>
      <c r="F4" s="1303">
        <f ca="1">IF(G4&lt;B2,"已过期",96010014)</f>
        <v>96010014</v>
      </c>
      <c r="G4" s="2347">
        <v>47118</v>
      </c>
      <c r="H4" s="2348" t="str">
        <f ca="1">E4&amp;"（注册号："&amp;F4&amp;"）"</f>
        <v>梁津（注册号：96010014）</v>
      </c>
    </row>
    <row r="5" spans="1:8" ht="24" customHeight="1">
      <c r="A5" s="1303" t="s">
        <v>2145</v>
      </c>
      <c r="B5" s="1303" t="str">
        <f ca="1">IF(C5&lt;B2,"已过期",1119970111)</f>
        <v>已过期</v>
      </c>
      <c r="C5" s="2344">
        <v>45937</v>
      </c>
      <c r="D5" s="2345" t="str">
        <f t="shared" ref="D5:D15" ca="1" si="0">A5&amp;"（注册号："&amp;B5&amp;"）"</f>
        <v>叶凌（注册号：已过期）</v>
      </c>
      <c r="E5" s="2346" t="s">
        <v>2145</v>
      </c>
      <c r="F5" s="1303">
        <f ca="1">IF(G5&lt;B2,"已过期",94010078)</f>
        <v>94010078</v>
      </c>
      <c r="G5" s="2347">
        <v>46387</v>
      </c>
      <c r="H5" s="2348" t="str">
        <f t="shared" ref="H5:H16" ca="1" si="1">E5&amp;"（注册号："&amp;F5&amp;"）"</f>
        <v>叶凌（注册号：94010078）</v>
      </c>
    </row>
    <row r="6" spans="1:8" ht="24" customHeight="1">
      <c r="A6" s="1303" t="s">
        <v>2146</v>
      </c>
      <c r="B6" s="1303" t="str">
        <f ca="1">IF(C6&lt;B2,"已过期",1120050019)</f>
        <v>已过期</v>
      </c>
      <c r="C6" s="2344">
        <v>45410</v>
      </c>
      <c r="D6" s="2345" t="str">
        <f t="shared" ca="1" si="0"/>
        <v>王鹏（注册号：已过期）</v>
      </c>
      <c r="E6" s="2346" t="s">
        <v>2146</v>
      </c>
      <c r="F6" s="1303">
        <f ca="1">IF(G6&lt;B2,"已过期",2002110030)</f>
        <v>2002110030</v>
      </c>
      <c r="G6" s="2347">
        <v>46387</v>
      </c>
      <c r="H6" s="2348" t="str">
        <f t="shared" ca="1" si="1"/>
        <v>王鹏（注册号：2002110030）</v>
      </c>
    </row>
    <row r="7" spans="1:8" ht="24" customHeight="1">
      <c r="A7" s="1303" t="s">
        <v>2147</v>
      </c>
      <c r="B7" s="1303" t="str">
        <f ca="1">IF(C7&lt;B2,"已过期",1120000080)</f>
        <v>已过期</v>
      </c>
      <c r="C7" s="2344">
        <v>45937</v>
      </c>
      <c r="D7" s="2345" t="str">
        <f t="shared" ca="1" si="0"/>
        <v>欧红伟（注册号：已过期）</v>
      </c>
      <c r="E7" s="2346" t="s">
        <v>2147</v>
      </c>
      <c r="F7" s="1303">
        <f ca="1">IF(G7&lt;B2,"已过期",2000110082)</f>
        <v>2000110082</v>
      </c>
      <c r="G7" s="2347">
        <v>46387</v>
      </c>
      <c r="H7" s="2348" t="str">
        <f t="shared" ca="1" si="1"/>
        <v>欧红伟（注册号：2000110082）</v>
      </c>
    </row>
    <row r="8" spans="1:8" ht="24" customHeight="1">
      <c r="A8" s="1303" t="s">
        <v>2148</v>
      </c>
      <c r="B8" s="1303" t="str">
        <f ca="1">IF(C8&lt;B2,"已过期",1419970001)</f>
        <v>已过期</v>
      </c>
      <c r="C8" s="2344">
        <v>45937</v>
      </c>
      <c r="D8" s="2345" t="str">
        <f t="shared" ca="1" si="0"/>
        <v>吴薇（注册号：已过期）</v>
      </c>
      <c r="E8" s="2346" t="s">
        <v>2148</v>
      </c>
      <c r="F8" s="1303">
        <f ca="1">IF(G8&lt;B2,"已过期",2002110125)</f>
        <v>2002110125</v>
      </c>
      <c r="G8" s="2347">
        <v>47118</v>
      </c>
      <c r="H8" s="2348" t="str">
        <f t="shared" ca="1" si="1"/>
        <v>吴薇（注册号：2002110125）</v>
      </c>
    </row>
    <row r="9" spans="1:8" ht="24" customHeight="1">
      <c r="A9" s="1303" t="s">
        <v>2149</v>
      </c>
      <c r="B9" s="1303" t="str">
        <f ca="1">IF(C9&lt;B2,"已过期",1120060040)</f>
        <v>已过期</v>
      </c>
      <c r="C9" s="2349">
        <v>45592</v>
      </c>
      <c r="D9" s="2345" t="str">
        <f t="shared" ca="1" si="0"/>
        <v>陈颖（注册号：已过期）</v>
      </c>
      <c r="E9" s="2346" t="s">
        <v>2149</v>
      </c>
      <c r="F9" s="1303">
        <f ca="1">IF(G9&lt;B2,"已过期",2004110096)</f>
        <v>2004110096</v>
      </c>
      <c r="G9" s="2347">
        <v>47118</v>
      </c>
      <c r="H9" s="2348" t="str">
        <f t="shared" ca="1" si="1"/>
        <v>陈颖（注册号：2004110096）</v>
      </c>
    </row>
    <row r="10" spans="1:8" ht="24" customHeight="1">
      <c r="A10" s="1303" t="s">
        <v>2150</v>
      </c>
      <c r="B10" s="1303" t="str">
        <f ca="1">IF(C10&lt;B2,"已过期",1120100036)</f>
        <v>已过期</v>
      </c>
      <c r="C10" s="2349">
        <v>45752</v>
      </c>
      <c r="D10" s="2345" t="str">
        <f t="shared" ca="1" si="0"/>
        <v>崔锴（注册号：已过期）</v>
      </c>
      <c r="E10" s="2346" t="s">
        <v>2150</v>
      </c>
      <c r="F10" s="1303">
        <f ca="1">IF(G10&lt;B2,"已过期",2010110070)</f>
        <v>2010110070</v>
      </c>
      <c r="G10" s="2347">
        <v>47907</v>
      </c>
      <c r="H10" s="2348" t="str">
        <f t="shared" ca="1" si="1"/>
        <v>崔锴（注册号：2010110070）</v>
      </c>
    </row>
    <row r="11" spans="1:8" ht="24" customHeight="1">
      <c r="A11" s="1303" t="s">
        <v>2151</v>
      </c>
      <c r="B11" s="1303" t="str">
        <f ca="1">IF(C11&lt;B2,"已过期",1120070131)</f>
        <v>已过期</v>
      </c>
      <c r="C11" s="2344">
        <v>45937</v>
      </c>
      <c r="D11" s="2345" t="str">
        <f t="shared" ca="1" si="0"/>
        <v>郑燚（注册号：已过期）</v>
      </c>
      <c r="E11" s="2346" t="s">
        <v>2151</v>
      </c>
      <c r="F11" s="1303">
        <f ca="1">IF(G11&lt;B2,"已过期",2014110011)</f>
        <v>2014110011</v>
      </c>
      <c r="G11" s="2347">
        <v>49302</v>
      </c>
      <c r="H11" s="2348" t="str">
        <f t="shared" ca="1" si="1"/>
        <v>郑燚（注册号：2014110011）</v>
      </c>
    </row>
    <row r="12" spans="1:8" ht="24" customHeight="1">
      <c r="A12" s="1303" t="s">
        <v>2152</v>
      </c>
      <c r="B12" s="1303" t="str">
        <f ca="1">IF(C12&lt;B2,"已过期",1120040230)</f>
        <v>已过期</v>
      </c>
      <c r="C12" s="2349">
        <v>45937</v>
      </c>
      <c r="D12" s="2345" t="str">
        <f t="shared" ca="1" si="0"/>
        <v>苏海（注册号：已过期）</v>
      </c>
      <c r="E12" s="2346" t="s">
        <v>2152</v>
      </c>
      <c r="F12" s="1303">
        <f ca="1">IF(G12&lt;B2,"已过期",98030020)</f>
        <v>98030020</v>
      </c>
      <c r="G12" s="2347">
        <v>47118</v>
      </c>
      <c r="H12" s="2348" t="str">
        <f t="shared" ca="1" si="1"/>
        <v>苏海（注册号：98030020）</v>
      </c>
    </row>
    <row r="13" spans="1:8" ht="24" customHeight="1">
      <c r="A13" s="1303" t="s">
        <v>2153</v>
      </c>
      <c r="B13" s="1303" t="str">
        <f ca="1">IF(C13&lt;B2,"已过期",1120020033)</f>
        <v>已过期</v>
      </c>
      <c r="C13" s="2344">
        <v>45375</v>
      </c>
      <c r="D13" s="2345" t="str">
        <f t="shared" ca="1" si="0"/>
        <v>刘敬东（注册号：已过期）</v>
      </c>
      <c r="E13" s="2346" t="s">
        <v>2153</v>
      </c>
      <c r="F13" s="1303">
        <f ca="1">IF(G13&lt;B2,"已过期",2000110137)</f>
        <v>2000110137</v>
      </c>
      <c r="G13" s="2347">
        <v>46387</v>
      </c>
      <c r="H13" s="2348" t="str">
        <f t="shared" ca="1" si="1"/>
        <v>刘敬东（注册号：2000110137）</v>
      </c>
    </row>
    <row r="14" spans="1:8" ht="24" customHeight="1">
      <c r="A14" s="1303" t="s">
        <v>2154</v>
      </c>
      <c r="B14" s="1303" t="str">
        <f ca="1">IF(C14&lt;B2,"已过期",1119980106)</f>
        <v>已过期</v>
      </c>
      <c r="C14" s="2349">
        <v>44969</v>
      </c>
      <c r="D14" s="2345" t="str">
        <f t="shared" ca="1" si="0"/>
        <v>刘俊财（注册号：已过期）</v>
      </c>
      <c r="E14" s="2346" t="s">
        <v>2154</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2155</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7" t="s">
        <v>2156</v>
      </c>
      <c r="B17" s="3537"/>
      <c r="C17" s="3537"/>
      <c r="D17" s="3537"/>
      <c r="E17" s="3537"/>
      <c r="F17" s="3537"/>
      <c r="G17" s="3537"/>
      <c r="H17" s="3537"/>
    </row>
    <row r="18" spans="1:8" ht="24" customHeight="1">
      <c r="A18" s="3538" t="s">
        <v>2157</v>
      </c>
      <c r="B18" s="3538"/>
      <c r="C18" s="3538"/>
      <c r="D18" s="2342"/>
      <c r="E18" s="3539" t="s">
        <v>2158</v>
      </c>
      <c r="F18" s="3538"/>
      <c r="G18" s="3538"/>
    </row>
    <row r="19" spans="1:8" s="2353" customFormat="1" ht="24" customHeight="1">
      <c r="A19" s="2352" t="s">
        <v>2159</v>
      </c>
      <c r="B19" s="2341" t="s">
        <v>2160</v>
      </c>
      <c r="C19" s="2341" t="s">
        <v>2139</v>
      </c>
      <c r="D19" s="2342"/>
      <c r="E19" s="2346" t="s">
        <v>2159</v>
      </c>
      <c r="F19" s="2341" t="s">
        <v>2160</v>
      </c>
      <c r="G19" s="2341" t="s">
        <v>2139</v>
      </c>
    </row>
    <row r="20" spans="1:8" s="2353" customFormat="1" ht="24" customHeight="1">
      <c r="A20" s="2354" t="s">
        <v>2161</v>
      </c>
      <c r="B20" s="2354" t="s">
        <v>2162</v>
      </c>
      <c r="C20" s="2347">
        <v>45898</v>
      </c>
      <c r="D20" s="2355"/>
      <c r="E20" s="2356" t="s">
        <v>2163</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171</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假设开发法</vt:lpstr>
      <vt:lpstr>收益法</vt:lpstr>
      <vt:lpstr>比较法-办公</vt:lpstr>
      <vt:lpstr>收益法 (元)</vt:lpstr>
      <vt:lpstr>比较法-租金办公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中指</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2025-10-13T08:16:43Z</dcterms:modified>
</cp:coreProperties>
</file>