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测算\4-1-602\"/>
    </mc:Choice>
  </mc:AlternateContent>
  <xr:revisionPtr revIDLastSave="0" documentId="13_ncr:1_{923FBF40-61C4-4D3A-B3AC-9FA99925288B}"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04" i="21" l="1"/>
  <c r="H104" i="21" s="1"/>
  <c r="G104" i="21" s="1"/>
  <c r="F104" i="21" s="1"/>
  <c r="E104" i="21" s="1"/>
  <c r="D104" i="21" s="1"/>
  <c r="C104" i="21" s="1"/>
  <c r="K104" i="21"/>
  <c r="L59" i="21"/>
  <c r="K59" i="21"/>
  <c r="I59" i="21"/>
  <c r="H59" i="21"/>
  <c r="G59" i="21"/>
  <c r="F59" i="21"/>
  <c r="E59" i="21"/>
  <c r="F33" i="21" l="1"/>
  <c r="H33" i="21" s="1"/>
  <c r="I47" i="21"/>
  <c r="G47" i="21"/>
  <c r="E47" i="21"/>
  <c r="H37" i="21"/>
  <c r="F37" i="21"/>
  <c r="I33" i="21"/>
  <c r="G33" i="21"/>
  <c r="E33" i="21"/>
  <c r="C33" i="21"/>
  <c r="I7" i="21"/>
  <c r="G7" i="21"/>
  <c r="E7" i="21"/>
  <c r="W28" i="81"/>
  <c r="W27" i="81"/>
  <c r="W26" i="81"/>
  <c r="W25" i="81"/>
  <c r="C6" i="69"/>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W33" i="79"/>
  <c r="U33" i="79"/>
  <c r="T33" i="79"/>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W29" i="79"/>
  <c r="U29" i="79"/>
  <c r="T29" i="79"/>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40" i="69"/>
  <c r="C40" i="69"/>
  <c r="F39" i="69"/>
  <c r="F38" i="69"/>
  <c r="E37" i="69"/>
  <c r="F36" i="69"/>
  <c r="F35" i="69"/>
  <c r="F30" i="69"/>
  <c r="G22" i="69"/>
  <c r="F21" i="69"/>
  <c r="C21" i="69"/>
  <c r="F20" i="69"/>
  <c r="E19" i="69"/>
  <c r="C19" i="69"/>
  <c r="E10" i="69"/>
  <c r="E9" i="69"/>
  <c r="F7" i="69"/>
  <c r="H1" i="69"/>
  <c r="G1" i="69"/>
  <c r="B85" i="84"/>
  <c r="B84" i="84"/>
  <c r="B83" i="84"/>
  <c r="B82" i="84"/>
  <c r="B81" i="84"/>
  <c r="B80" i="84"/>
  <c r="J76" i="84"/>
  <c r="I76" i="84"/>
  <c r="G76" i="84"/>
  <c r="F76" i="84"/>
  <c r="D76" i="84"/>
  <c r="B76" i="84"/>
  <c r="J75" i="84"/>
  <c r="I75" i="84"/>
  <c r="G75" i="84"/>
  <c r="F75" i="84"/>
  <c r="D75" i="84"/>
  <c r="B75" i="84"/>
  <c r="J74" i="84"/>
  <c r="I74" i="84"/>
  <c r="G74" i="84"/>
  <c r="F74" i="84"/>
  <c r="D74" i="84"/>
  <c r="J73" i="84"/>
  <c r="I73" i="84"/>
  <c r="G73" i="84"/>
  <c r="F73" i="84"/>
  <c r="D73" i="84"/>
  <c r="B73" i="84"/>
  <c r="J72" i="84"/>
  <c r="I72" i="84"/>
  <c r="G72" i="84"/>
  <c r="F72" i="84"/>
  <c r="D72" i="84"/>
  <c r="B72" i="84"/>
  <c r="J71" i="84"/>
  <c r="I71" i="84"/>
  <c r="G71" i="84"/>
  <c r="F71" i="84"/>
  <c r="D71" i="84"/>
  <c r="B71" i="84"/>
  <c r="J70" i="84"/>
  <c r="I70" i="84"/>
  <c r="G70" i="84"/>
  <c r="F70" i="84"/>
  <c r="E70" i="84"/>
  <c r="D70" i="84"/>
  <c r="B70" i="84"/>
  <c r="B68" i="84"/>
  <c r="J67" i="84"/>
  <c r="I67" i="84"/>
  <c r="G67" i="84"/>
  <c r="F67" i="84"/>
  <c r="D67" i="84"/>
  <c r="J66" i="84"/>
  <c r="I66" i="84"/>
  <c r="G66" i="84"/>
  <c r="F66" i="84"/>
  <c r="D66" i="84"/>
  <c r="B66" i="84"/>
  <c r="J65" i="84"/>
  <c r="I65" i="84"/>
  <c r="G65" i="84"/>
  <c r="F65" i="84"/>
  <c r="D65" i="84"/>
  <c r="B65" i="84"/>
  <c r="J64" i="84"/>
  <c r="I64" i="84"/>
  <c r="G64" i="84"/>
  <c r="F64" i="84"/>
  <c r="D64" i="84"/>
  <c r="J63" i="84"/>
  <c r="I63" i="84"/>
  <c r="G63" i="84"/>
  <c r="F63" i="84"/>
  <c r="D63" i="84"/>
  <c r="B63" i="84"/>
  <c r="J62" i="84"/>
  <c r="I62" i="84"/>
  <c r="G62" i="84"/>
  <c r="F62" i="84"/>
  <c r="D62" i="84"/>
  <c r="B62" i="84"/>
  <c r="J61" i="84"/>
  <c r="I61" i="84"/>
  <c r="G61" i="84"/>
  <c r="F61" i="84"/>
  <c r="D61" i="84"/>
  <c r="B61" i="84"/>
  <c r="J60" i="84"/>
  <c r="I60" i="84"/>
  <c r="G60" i="84"/>
  <c r="F60" i="84"/>
  <c r="E60" i="84"/>
  <c r="D60" i="84"/>
  <c r="B60" i="84"/>
  <c r="B58" i="84"/>
  <c r="J57" i="84"/>
  <c r="I57" i="84"/>
  <c r="G57" i="84"/>
  <c r="F57" i="84"/>
  <c r="D57" i="84"/>
  <c r="B57" i="84"/>
  <c r="J56" i="84"/>
  <c r="I56" i="84"/>
  <c r="G56" i="84"/>
  <c r="F56" i="84"/>
  <c r="D56" i="84"/>
  <c r="J55" i="84"/>
  <c r="I55" i="84"/>
  <c r="G55" i="84"/>
  <c r="F55" i="84"/>
  <c r="D55" i="84"/>
  <c r="B55" i="84"/>
  <c r="J54" i="84"/>
  <c r="I54" i="84"/>
  <c r="G54" i="84"/>
  <c r="F54" i="84"/>
  <c r="D54" i="84"/>
  <c r="J53" i="84"/>
  <c r="I53" i="84"/>
  <c r="G53" i="84"/>
  <c r="F53" i="84"/>
  <c r="D53" i="84"/>
  <c r="B53" i="84"/>
  <c r="J52" i="84"/>
  <c r="I52" i="84"/>
  <c r="G52" i="84"/>
  <c r="F52" i="84"/>
  <c r="D52" i="84"/>
  <c r="B52" i="84"/>
  <c r="J51" i="84"/>
  <c r="I51" i="84"/>
  <c r="G51" i="84"/>
  <c r="F51" i="84"/>
  <c r="E51" i="84"/>
  <c r="D51" i="84"/>
  <c r="B51" i="84"/>
  <c r="B49" i="84"/>
  <c r="J48" i="84"/>
  <c r="I48" i="84"/>
  <c r="G48" i="84"/>
  <c r="F48" i="84"/>
  <c r="D48" i="84"/>
  <c r="B48" i="84"/>
  <c r="J47" i="84"/>
  <c r="I47" i="84"/>
  <c r="G47" i="84"/>
  <c r="F47" i="84"/>
  <c r="D47" i="84"/>
  <c r="J46" i="84"/>
  <c r="I46" i="84"/>
  <c r="G46" i="84"/>
  <c r="F46" i="84"/>
  <c r="D46" i="84"/>
  <c r="B46" i="84"/>
  <c r="J45" i="84"/>
  <c r="I45" i="84"/>
  <c r="G45" i="84"/>
  <c r="F45" i="84"/>
  <c r="D45" i="84"/>
  <c r="J44" i="84"/>
  <c r="I44" i="84"/>
  <c r="G44" i="84"/>
  <c r="F44" i="84"/>
  <c r="D44" i="84"/>
  <c r="B44" i="84"/>
  <c r="J43" i="84"/>
  <c r="I43" i="84"/>
  <c r="G43" i="84"/>
  <c r="F43" i="84"/>
  <c r="D43" i="84"/>
  <c r="B43" i="84"/>
  <c r="J42" i="84"/>
  <c r="I42" i="84"/>
  <c r="G42" i="84"/>
  <c r="F42" i="84"/>
  <c r="E42" i="84"/>
  <c r="D42" i="84"/>
  <c r="B42" i="84"/>
  <c r="B40" i="84"/>
  <c r="C30" i="84"/>
  <c r="C29" i="84"/>
  <c r="C28" i="84"/>
  <c r="C27" i="84"/>
  <c r="C26" i="84"/>
  <c r="B24" i="84"/>
  <c r="C22" i="84"/>
  <c r="E21" i="84"/>
  <c r="D21" i="84"/>
  <c r="C21" i="84"/>
  <c r="E20" i="84"/>
  <c r="D20" i="84"/>
  <c r="C20" i="84"/>
  <c r="E19" i="84"/>
  <c r="D19" i="84"/>
  <c r="C19" i="84"/>
  <c r="E18" i="84"/>
  <c r="D18" i="84"/>
  <c r="C18" i="84"/>
  <c r="H16" i="84"/>
  <c r="C15" i="84"/>
  <c r="D14" i="84"/>
  <c r="H13" i="84"/>
  <c r="G13" i="84"/>
  <c r="F13" i="84"/>
  <c r="E13" i="84"/>
  <c r="D13" i="84"/>
  <c r="H12" i="84"/>
  <c r="G12" i="84"/>
  <c r="F12" i="84"/>
  <c r="E12" i="84"/>
  <c r="D12" i="84"/>
  <c r="C11" i="84"/>
  <c r="H10" i="84"/>
  <c r="G10" i="84"/>
  <c r="C10" i="84"/>
  <c r="I9" i="84"/>
  <c r="H9" i="84"/>
  <c r="F9" i="84"/>
  <c r="C9" i="84"/>
  <c r="D8" i="84"/>
  <c r="C7" i="84"/>
  <c r="B5" i="84"/>
  <c r="B4" i="84"/>
  <c r="I3" i="84"/>
  <c r="G3" i="84"/>
  <c r="B3" i="84"/>
  <c r="G2" i="84"/>
  <c r="E2" i="84"/>
  <c r="J1" i="84"/>
  <c r="H1" i="84"/>
  <c r="F36" i="83"/>
  <c r="F35" i="83"/>
  <c r="R33" i="83"/>
  <c r="Q33" i="83"/>
  <c r="P33" i="83"/>
  <c r="O33" i="83"/>
  <c r="F33" i="83"/>
  <c r="G32" i="83"/>
  <c r="F32" i="83"/>
  <c r="G31" i="83"/>
  <c r="F31" i="83"/>
  <c r="G30" i="83"/>
  <c r="G29" i="83"/>
  <c r="F29" i="83"/>
  <c r="F28" i="83"/>
  <c r="F25" i="83"/>
  <c r="F24" i="83"/>
  <c r="I22" i="83"/>
  <c r="F22" i="83"/>
  <c r="H21" i="83"/>
  <c r="G21" i="83"/>
  <c r="F21" i="83"/>
  <c r="F20" i="83"/>
  <c r="F19" i="83"/>
  <c r="F18" i="83"/>
  <c r="B18" i="83"/>
  <c r="F17" i="83"/>
  <c r="B17" i="83"/>
  <c r="F16" i="83"/>
  <c r="B15" i="83"/>
  <c r="F13" i="83"/>
  <c r="F12" i="83"/>
  <c r="F11" i="83"/>
  <c r="F10" i="83"/>
  <c r="H9" i="83"/>
  <c r="G9" i="83"/>
  <c r="F9" i="83"/>
  <c r="F8" i="83"/>
  <c r="B8" i="83"/>
  <c r="F7" i="83"/>
  <c r="H6" i="83"/>
  <c r="F6" i="83"/>
  <c r="F5" i="83"/>
  <c r="O4" i="83"/>
  <c r="F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F127" i="21"/>
  <c r="E127" i="21"/>
  <c r="D127" i="21"/>
  <c r="F126" i="21"/>
  <c r="E126"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F90" i="21"/>
  <c r="E90" i="21"/>
  <c r="D90" i="21"/>
  <c r="C90" i="2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D59" i="21"/>
  <c r="J59" i="21" s="1"/>
  <c r="M59" i="21" s="1"/>
  <c r="N59" i="21" s="1"/>
  <c r="O59" i="21" s="1"/>
  <c r="P59" i="21" s="1"/>
  <c r="Q59" i="21" s="1"/>
  <c r="R59" i="21" s="1"/>
  <c r="S59" i="21" s="1"/>
  <c r="T59" i="21" s="1"/>
  <c r="U59" i="21" s="1"/>
  <c r="V59" i="21" s="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J34" i="21"/>
  <c r="AC34" i="21" s="1"/>
  <c r="H34" i="21"/>
  <c r="AB34" i="21" s="1"/>
  <c r="F34" i="21"/>
  <c r="AA34" i="21" s="1"/>
  <c r="Z33" i="21"/>
  <c r="Q33" i="21"/>
  <c r="J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B27" i="9"/>
  <c r="C25" i="9"/>
  <c r="C24" i="9"/>
  <c r="C17" i="9"/>
  <c r="D14" i="9"/>
  <c r="D17" i="9" s="1"/>
  <c r="C18" i="9" s="1"/>
  <c r="D18"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M14" i="1"/>
  <c r="K14" i="1"/>
  <c r="AP13" i="1"/>
  <c r="AG13" i="1"/>
  <c r="AE13" i="1"/>
  <c r="S13" i="1"/>
  <c r="AR13" i="1" s="1"/>
  <c r="R13" i="1"/>
  <c r="P13" i="1"/>
  <c r="O13" i="1"/>
  <c r="K13" i="1"/>
  <c r="M13" i="1" s="1"/>
  <c r="F13" i="1"/>
  <c r="G13" i="1" s="1"/>
  <c r="E13" i="1"/>
  <c r="D13" i="1"/>
  <c r="B13" i="1"/>
  <c r="A13" i="1"/>
  <c r="AP12" i="1"/>
  <c r="AG12" i="1"/>
  <c r="AE12" i="1"/>
  <c r="S12" i="1"/>
  <c r="AR12" i="1" s="1"/>
  <c r="R12" i="1"/>
  <c r="P12" i="1"/>
  <c r="O12" i="1"/>
  <c r="M12" i="1"/>
  <c r="K12" i="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M8" i="1"/>
  <c r="K8" i="1"/>
  <c r="F8" i="1"/>
  <c r="G8" i="1" s="1"/>
  <c r="E8" i="1"/>
  <c r="D8" i="1"/>
  <c r="B8" i="1"/>
  <c r="A8" i="1"/>
  <c r="AQ7" i="1"/>
  <c r="AP7" i="1"/>
  <c r="AG7" i="1"/>
  <c r="AE7" i="1"/>
  <c r="T7" i="1"/>
  <c r="S7" i="1"/>
  <c r="AR7" i="1" s="1"/>
  <c r="R7" i="1"/>
  <c r="P7" i="1"/>
  <c r="O7" i="1"/>
  <c r="M7" i="1"/>
  <c r="K7" i="1"/>
  <c r="F7" i="1"/>
  <c r="G7" i="1" s="1"/>
  <c r="E7" i="1"/>
  <c r="D7" i="1"/>
  <c r="B7" i="1"/>
  <c r="A7" i="1"/>
  <c r="AG6" i="1"/>
  <c r="Y6" i="1"/>
  <c r="P6" i="1"/>
  <c r="P16" i="1" s="1"/>
  <c r="C11" i="12" s="1"/>
  <c r="O6" i="1"/>
  <c r="O16" i="1" s="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1" i="72"/>
  <c r="B10" i="72"/>
  <c r="B8" i="72"/>
  <c r="B6" i="72"/>
  <c r="B5" i="72"/>
  <c r="B3" i="72"/>
  <c r="B2" i="72"/>
  <c r="C76" i="15"/>
  <c r="M8" i="67"/>
  <c r="M22" i="15"/>
  <c r="F13" i="15"/>
  <c r="C14" i="15"/>
  <c r="F6" i="15"/>
  <c r="M28" i="67"/>
  <c r="M26" i="67"/>
  <c r="L47" i="15"/>
  <c r="M29" i="15"/>
  <c r="AO13" i="1"/>
  <c r="E7" i="76"/>
  <c r="L47" i="67"/>
  <c r="B10" i="76"/>
  <c r="L48" i="15"/>
  <c r="F35" i="15"/>
  <c r="M23" i="15"/>
  <c r="D2" i="21"/>
  <c r="F38" i="67"/>
  <c r="D2" i="37"/>
  <c r="F38" i="15"/>
  <c r="F26" i="15"/>
  <c r="F8" i="15"/>
  <c r="B9" i="76"/>
  <c r="E10" i="76"/>
  <c r="B8" i="76"/>
  <c r="AO12" i="1"/>
  <c r="AO9" i="1"/>
  <c r="M27" i="15"/>
  <c r="F42" i="15"/>
  <c r="M6" i="67"/>
  <c r="F9" i="15"/>
  <c r="M8" i="15"/>
  <c r="B12" i="76"/>
  <c r="M22" i="67"/>
  <c r="F16" i="67"/>
  <c r="F43" i="15"/>
  <c r="M26" i="15"/>
  <c r="AO7" i="1"/>
  <c r="AO10" i="1"/>
  <c r="F9" i="67"/>
  <c r="F13" i="67"/>
  <c r="M28" i="15"/>
  <c r="F16" i="15"/>
  <c r="F6" i="67"/>
  <c r="E11" i="76"/>
  <c r="D2" i="33"/>
  <c r="M24" i="67"/>
  <c r="J15" i="67"/>
  <c r="M24" i="15"/>
  <c r="F37" i="15"/>
  <c r="D34" i="9"/>
  <c r="B7" i="76"/>
  <c r="E8" i="76"/>
  <c r="F37" i="67"/>
  <c r="F20" i="31"/>
  <c r="E2" i="68"/>
  <c r="B13" i="76"/>
  <c r="F27" i="69"/>
  <c r="F7" i="15"/>
  <c r="M6" i="15"/>
  <c r="AO8" i="1"/>
  <c r="B11" i="76"/>
  <c r="E12" i="76"/>
  <c r="AO11" i="1"/>
  <c r="D35" i="9"/>
  <c r="J15" i="15"/>
  <c r="F42" i="67"/>
  <c r="F36" i="67"/>
  <c r="C76" i="67"/>
  <c r="F36" i="15"/>
  <c r="M21" i="15"/>
  <c r="M9" i="15"/>
  <c r="E9" i="76"/>
  <c r="L48" i="67"/>
  <c r="F8" i="67"/>
  <c r="M9" i="67"/>
  <c r="E2" i="69"/>
  <c r="AE6" i="1" s="1"/>
  <c r="D2" i="35"/>
  <c r="D2" i="36"/>
  <c r="M27" i="67"/>
  <c r="F26" i="67"/>
  <c r="F40" i="15"/>
  <c r="E13" i="76"/>
  <c r="D2" i="34"/>
  <c r="F40" i="67"/>
  <c r="M23" i="67"/>
  <c r="F41" i="15"/>
  <c r="I89" i="21" l="1"/>
  <c r="J26" i="21"/>
  <c r="AC26" i="21" s="1"/>
  <c r="H26" i="21"/>
  <c r="U26" i="21" s="1"/>
  <c r="X59" i="21"/>
  <c r="Y59" i="21" s="1"/>
  <c r="W59" i="21"/>
  <c r="W43" i="21"/>
  <c r="S43" i="21"/>
  <c r="U43" i="21"/>
  <c r="S38" i="21"/>
  <c r="AB42" i="21"/>
  <c r="W42" i="21"/>
  <c r="S42" i="21"/>
  <c r="U34" i="21"/>
  <c r="W34" i="21"/>
  <c r="S34" i="21"/>
  <c r="W27"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E31" i="6"/>
  <c r="K26" i="6"/>
  <c r="M26" i="6" s="1"/>
  <c r="I26" i="6" s="1"/>
  <c r="S26" i="6" s="1"/>
  <c r="K24" i="6"/>
  <c r="M24" i="6" s="1"/>
  <c r="I24" i="6" s="1"/>
  <c r="S24" i="6" s="1"/>
  <c r="K22" i="6"/>
  <c r="M22" i="6" s="1"/>
  <c r="I22" i="6" s="1"/>
  <c r="S22" i="6" s="1"/>
  <c r="K20" i="6"/>
  <c r="M20" i="6" s="1"/>
  <c r="I20" i="6" s="1"/>
  <c r="S20" i="6" s="1"/>
  <c r="K23" i="6"/>
  <c r="M23" i="6" s="1"/>
  <c r="I23" i="6" s="1"/>
  <c r="S23" i="6" s="1"/>
  <c r="K21" i="6"/>
  <c r="M21" i="6" s="1"/>
  <c r="I21" i="6" s="1"/>
  <c r="S21" i="6" s="1"/>
  <c r="K19" i="6"/>
  <c r="K25" i="6"/>
  <c r="M25" i="6" s="1"/>
  <c r="I25" i="6" s="1"/>
  <c r="S25" i="6" s="1"/>
  <c r="I4" i="6"/>
  <c r="I6" i="3"/>
  <c r="E14" i="6"/>
  <c r="E12" i="6"/>
  <c r="E10" i="6"/>
  <c r="E5" i="6"/>
  <c r="E13" i="6"/>
  <c r="E8" i="6"/>
  <c r="E1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F7" i="33"/>
  <c r="J7" i="33"/>
  <c r="D58" i="33"/>
  <c r="E58" i="33" s="1"/>
  <c r="F58" i="33" s="1"/>
  <c r="G58" i="33" s="1"/>
  <c r="H58" i="33" s="1"/>
  <c r="I58" i="33" s="1"/>
  <c r="J58" i="33" s="1"/>
  <c r="K58" i="33" s="1"/>
  <c r="L58" i="33" s="1"/>
  <c r="M58" i="33" s="1"/>
  <c r="N58" i="33" s="1"/>
  <c r="O58" i="33" s="1"/>
  <c r="H7" i="33"/>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C15" i="15"/>
  <c r="C18"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M59" i="67"/>
  <c r="L59" i="67"/>
  <c r="N59" i="67"/>
  <c r="L58" i="67"/>
  <c r="J57" i="67"/>
  <c r="J55" i="67" s="1"/>
  <c r="J58" i="67" s="1"/>
  <c r="Q50" i="67" s="1"/>
  <c r="J53" i="67"/>
  <c r="L60" i="67"/>
  <c r="J60" i="67"/>
  <c r="Q48" i="67" s="1"/>
  <c r="L56" i="67"/>
  <c r="J59"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C12" i="12"/>
  <c r="C15" i="12"/>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M29" i="67"/>
  <c r="F7" i="73"/>
  <c r="F7" i="67"/>
  <c r="D6" i="73"/>
  <c r="D3" i="73"/>
  <c r="F4" i="73"/>
  <c r="C17" i="15"/>
  <c r="F6" i="73"/>
  <c r="D9" i="69"/>
  <c r="D4" i="73"/>
  <c r="F43" i="67"/>
  <c r="F3" i="73"/>
  <c r="D5" i="73"/>
  <c r="F41" i="67"/>
  <c r="D7" i="73"/>
  <c r="F5" i="73"/>
  <c r="C36" i="69"/>
  <c r="C16" i="15"/>
  <c r="F69" i="67" l="1"/>
  <c r="F59" i="15"/>
  <c r="W26" i="21"/>
  <c r="AB26" i="21"/>
  <c r="J89" i="21"/>
  <c r="K89" i="21" s="1"/>
  <c r="L89" i="21" s="1"/>
  <c r="M89" i="21" s="1"/>
  <c r="F26" i="21"/>
  <c r="AA59" i="21"/>
  <c r="AB59" i="21" s="1"/>
  <c r="Z59"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K27" i="6"/>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E6" i="3" s="1"/>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J7" i="34"/>
  <c r="D59" i="34"/>
  <c r="E59" i="34" s="1"/>
  <c r="F59" i="34" s="1"/>
  <c r="G59" i="34" s="1"/>
  <c r="H59" i="34" s="1"/>
  <c r="I59" i="34" s="1"/>
  <c r="J59" i="34" s="1"/>
  <c r="K59" i="34" s="1"/>
  <c r="L59" i="34" s="1"/>
  <c r="M59" i="34" s="1"/>
  <c r="N59" i="34" s="1"/>
  <c r="O59" i="34" s="1"/>
  <c r="H7" i="34"/>
  <c r="F7" i="34"/>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H7" i="21"/>
  <c r="AC7" i="33"/>
  <c r="V48" i="33" s="1"/>
  <c r="I48" i="33" s="1"/>
  <c r="W7" i="33"/>
  <c r="H7" i="36"/>
  <c r="F7" i="36"/>
  <c r="D46" i="36"/>
  <c r="E46" i="36" s="1"/>
  <c r="F46" i="36" s="1"/>
  <c r="G46" i="36" s="1"/>
  <c r="H46" i="36" s="1"/>
  <c r="I46" i="36" s="1"/>
  <c r="J46" i="36" s="1"/>
  <c r="K46" i="36" s="1"/>
  <c r="L46" i="36" s="1"/>
  <c r="M46" i="36" s="1"/>
  <c r="N46" i="36" s="1"/>
  <c r="O46" i="36" s="1"/>
  <c r="J7" i="36"/>
  <c r="C65" i="40"/>
  <c r="D63" i="40"/>
  <c r="S7" i="33"/>
  <c r="AA7" i="33"/>
  <c r="R48" i="33" s="1"/>
  <c r="C19" i="15"/>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Q66" i="67"/>
  <c r="Q57" i="67"/>
  <c r="L56" i="15"/>
  <c r="C49" i="15"/>
  <c r="C31" i="15"/>
  <c r="Q52" i="67"/>
  <c r="F1" i="67"/>
  <c r="Q61" i="67"/>
  <c r="Q74" i="67"/>
  <c r="Q73" i="15"/>
  <c r="Q60" i="15"/>
  <c r="C14" i="67"/>
  <c r="C34" i="69"/>
  <c r="D10" i="69"/>
  <c r="C16" i="67"/>
  <c r="C17" i="67"/>
  <c r="G1" i="73"/>
  <c r="C36" i="11" l="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C28" i="11" s="1"/>
  <c r="C27" i="11" s="1"/>
  <c r="F28" i="12"/>
  <c r="C29" i="12" s="1"/>
  <c r="D28" i="12" s="1"/>
  <c r="F27" i="68"/>
  <c r="M19" i="9"/>
  <c r="C118" i="9" s="1"/>
  <c r="L19" i="9"/>
  <c r="D29" i="6"/>
  <c r="D28" i="6"/>
  <c r="D26" i="6"/>
  <c r="H25" i="6"/>
  <c r="D24" i="6"/>
  <c r="R24" i="6" s="1"/>
  <c r="H23" i="6"/>
  <c r="D22" i="6"/>
  <c r="H21" i="6"/>
  <c r="D20" i="6"/>
  <c r="R20" i="6" s="1"/>
  <c r="D8" i="6"/>
  <c r="E61" i="40"/>
  <c r="D14" i="6"/>
  <c r="D12" i="6"/>
  <c r="D10" i="6"/>
  <c r="H22" i="6"/>
  <c r="D21" i="6"/>
  <c r="R21" i="6" s="1"/>
  <c r="D9" i="6"/>
  <c r="D5" i="6"/>
  <c r="H20" i="6"/>
  <c r="D19" i="6"/>
  <c r="D13" i="6"/>
  <c r="H26" i="6"/>
  <c r="D25" i="6"/>
  <c r="R25" i="6" s="1"/>
  <c r="H24" i="6"/>
  <c r="D15" i="6"/>
  <c r="D23" i="6"/>
  <c r="R23" i="6" s="1"/>
  <c r="D11" i="6"/>
  <c r="D6" i="6"/>
  <c r="C18" i="4"/>
  <c r="I19" i="6"/>
  <c r="H19" i="6" s="1"/>
  <c r="H27"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AB7" i="36"/>
  <c r="T36" i="36" s="1"/>
  <c r="G36" i="36" s="1"/>
  <c r="W7" i="36"/>
  <c r="AC7" i="36"/>
  <c r="V36" i="36" s="1"/>
  <c r="I36" i="36"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W7" i="34"/>
  <c r="AC7" i="34"/>
  <c r="V49" i="34" s="1"/>
  <c r="I49" i="34" s="1"/>
  <c r="J7" i="37"/>
  <c r="S7" i="35"/>
  <c r="AA7" i="35"/>
  <c r="R38" i="35" s="1"/>
  <c r="D65" i="40"/>
  <c r="E63" i="40"/>
  <c r="S7" i="36"/>
  <c r="AA7" i="36"/>
  <c r="R36" i="36" s="1"/>
  <c r="I53" i="33"/>
  <c r="J53" i="33" s="1"/>
  <c r="I52" i="33"/>
  <c r="J52" i="33" s="1"/>
  <c r="AA10" i="40"/>
  <c r="S10" i="40"/>
  <c r="AA7" i="34"/>
  <c r="R49" i="34" s="1"/>
  <c r="S7" i="34"/>
  <c r="D69" i="39"/>
  <c r="E67" i="39"/>
  <c r="U7" i="35"/>
  <c r="AB7" i="35"/>
  <c r="T38" i="35" s="1"/>
  <c r="G38" i="35" s="1"/>
  <c r="E48" i="33"/>
  <c r="R49" i="33"/>
  <c r="AB7" i="21"/>
  <c r="T48" i="21" s="1"/>
  <c r="G48" i="21" s="1"/>
  <c r="U7" i="21"/>
  <c r="AC10" i="39"/>
  <c r="W10" i="39"/>
  <c r="U7" i="34"/>
  <c r="AB7" i="34"/>
  <c r="T49" i="34" s="1"/>
  <c r="G49" i="34" s="1"/>
  <c r="F7" i="37"/>
  <c r="AC7" i="35"/>
  <c r="V38" i="35" s="1"/>
  <c r="I38" i="35" s="1"/>
  <c r="W7" i="35"/>
  <c r="C59" i="15"/>
  <c r="J18" i="15"/>
  <c r="J17" i="15"/>
  <c r="J5" i="15"/>
  <c r="J19" i="15"/>
  <c r="C8" i="68"/>
  <c r="C5" i="68" s="1"/>
  <c r="C20" i="15"/>
  <c r="C26" i="15" s="1"/>
  <c r="J17" i="67" l="1"/>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3" i="34"/>
  <c r="J53" i="34" s="1"/>
  <c r="I54" i="34"/>
  <c r="J54"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I40" i="36"/>
  <c r="J40" i="36" s="1"/>
  <c r="I41" i="36"/>
  <c r="J41" i="36" s="1"/>
  <c r="G41" i="36"/>
  <c r="H41" i="36" s="1"/>
  <c r="G40" i="36"/>
  <c r="H40" i="36" s="1"/>
  <c r="E53" i="33"/>
  <c r="F53" i="33" s="1"/>
  <c r="E52" i="33"/>
  <c r="F52" i="33" s="1"/>
  <c r="G39" i="43"/>
  <c r="I39" i="43" s="1"/>
  <c r="E39" i="43"/>
  <c r="C26" i="67"/>
  <c r="C66" i="15"/>
  <c r="J26" i="15"/>
  <c r="J29" i="15" s="1"/>
  <c r="J24" i="15"/>
  <c r="C23" i="68" l="1"/>
  <c r="C19" i="68"/>
  <c r="C24" i="68" s="1"/>
  <c r="J24" i="67"/>
  <c r="C25" i="11"/>
  <c r="F41" i="68"/>
  <c r="C44" i="68"/>
  <c r="D41" i="68" s="1"/>
  <c r="C23" i="67"/>
  <c r="C29" i="67" s="1"/>
  <c r="C57" i="67" s="1"/>
  <c r="C64" i="67" s="1"/>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I47" i="37"/>
  <c r="J47" i="37" s="1"/>
  <c r="C27" i="12"/>
  <c r="C25" i="12" s="1"/>
  <c r="C32" i="12" s="1"/>
  <c r="B2" i="12" s="1"/>
  <c r="B3" i="12" s="1"/>
  <c r="M21" i="67"/>
  <c r="F35" i="67"/>
  <c r="E6" i="76"/>
  <c r="C33" i="11" l="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C13" i="67"/>
  <c r="C37" i="67" s="1"/>
  <c r="J14" i="67"/>
  <c r="J13" i="67" s="1"/>
  <c r="J23" i="67" s="1"/>
  <c r="G65" i="40"/>
  <c r="H63" i="40"/>
  <c r="C43" i="37"/>
  <c r="C42" i="37"/>
  <c r="E52" i="21"/>
  <c r="F52" i="21" s="1"/>
  <c r="E53" i="21"/>
  <c r="F53" i="21" s="1"/>
  <c r="C36" i="67"/>
  <c r="B2" i="43"/>
  <c r="E46" i="37"/>
  <c r="F46" i="37" s="1"/>
  <c r="E47" i="37"/>
  <c r="F47" i="37" s="1"/>
  <c r="C48" i="21"/>
  <c r="C49" i="21"/>
  <c r="Q49" i="67"/>
  <c r="G69" i="39"/>
  <c r="H67" i="39"/>
  <c r="J13" i="15"/>
  <c r="J23" i="15" s="1"/>
  <c r="J22" i="15"/>
  <c r="B6" i="76"/>
  <c r="C42" i="11" l="1"/>
  <c r="C30" i="67"/>
  <c r="C39" i="67" s="1"/>
  <c r="Q69" i="67" s="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22" i="67"/>
  <c r="J16" i="67" s="1"/>
  <c r="J25" i="67" s="1"/>
  <c r="J16" i="15"/>
  <c r="J25" i="15" s="1"/>
  <c r="B2" i="76"/>
  <c r="B3" i="76" s="1"/>
  <c r="C75" i="67"/>
  <c r="C56" i="67"/>
  <c r="C65" i="67" s="1"/>
  <c r="C58" i="67" s="1"/>
  <c r="C67" i="67" s="1"/>
  <c r="C68" i="67" s="1"/>
  <c r="C71" i="67" s="1"/>
  <c r="B3" i="21"/>
  <c r="B2" i="21"/>
  <c r="B3" i="43"/>
  <c r="I67" i="39"/>
  <c r="H69" i="39"/>
  <c r="I63" i="40"/>
  <c r="H65" i="40"/>
  <c r="Q70" i="67"/>
  <c r="D20" i="9"/>
  <c r="C19" i="9"/>
  <c r="B3" i="69"/>
  <c r="AO6" i="1"/>
  <c r="D19" i="9"/>
  <c r="C41" i="11" l="1"/>
  <c r="C49" i="11" s="1"/>
  <c r="C51" i="11" s="1"/>
  <c r="C52" i="11" s="1"/>
  <c r="B2" i="11" s="1"/>
  <c r="B3" i="11" s="1"/>
  <c r="C57" i="69"/>
  <c r="C56" i="69" s="1"/>
  <c r="C80" i="67"/>
  <c r="C79" i="67" s="1"/>
  <c r="C49" i="68"/>
  <c r="C51" i="68" s="1"/>
  <c r="C52" i="68" s="1"/>
  <c r="B2" i="68" s="1"/>
  <c r="B3" i="68" s="1"/>
  <c r="C40" i="67"/>
  <c r="C45" i="67" s="1"/>
  <c r="C46" i="67" s="1"/>
  <c r="Q68" i="15"/>
  <c r="B6" i="70"/>
  <c r="B2" i="70" s="1"/>
  <c r="B3" i="70" s="1"/>
  <c r="C102" i="9"/>
  <c r="C21" i="9"/>
  <c r="C80" i="15"/>
  <c r="C79" i="15" s="1"/>
  <c r="C40" i="15"/>
  <c r="C46" i="15" s="1"/>
  <c r="D103" i="9"/>
  <c r="D21" i="9"/>
  <c r="D102" i="9"/>
  <c r="D22" i="9"/>
  <c r="G19" i="9"/>
  <c r="G21" i="9" s="1"/>
  <c r="I69" i="39"/>
  <c r="J67" i="39"/>
  <c r="I65" i="40"/>
  <c r="J63" i="40"/>
  <c r="Q68" i="67"/>
  <c r="L51" i="15"/>
  <c r="L51" i="67"/>
  <c r="C20" i="9"/>
  <c r="Q67" i="15" l="1"/>
  <c r="L57" i="15"/>
  <c r="L60" i="15" s="1"/>
  <c r="Q57" i="15" s="1"/>
  <c r="C103" i="9"/>
  <c r="G20" i="9"/>
  <c r="E14" i="74" s="1"/>
  <c r="D14" i="74" s="1"/>
  <c r="L57" i="67"/>
  <c r="Q67" i="67"/>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D30" i="9"/>
  <c r="C30" i="9" s="1"/>
  <c r="J69" i="39"/>
  <c r="K67" i="39"/>
  <c r="J65" i="40"/>
  <c r="K63" i="40"/>
  <c r="Q66" i="15" l="1"/>
  <c r="C32" i="9"/>
  <c r="C35" i="9" s="1"/>
  <c r="C34" i="9" s="1"/>
  <c r="B2" i="67"/>
  <c r="B3" i="67"/>
  <c r="Q75" i="15"/>
  <c r="Q62" i="15"/>
  <c r="K65" i="40"/>
  <c r="L63" i="40"/>
  <c r="K69" i="39"/>
  <c r="L67" i="39"/>
  <c r="G24" i="9"/>
  <c r="B5" i="74"/>
  <c r="F14" i="74"/>
  <c r="M63" i="40" l="1"/>
  <c r="L65" i="40"/>
  <c r="M67" i="39"/>
  <c r="L69" i="39"/>
  <c r="D5" i="74"/>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E81" i="9" l="1"/>
  <c r="E80" i="9"/>
  <c r="C80" i="9"/>
  <c r="B52" i="72"/>
  <c r="G4" i="52"/>
  <c r="B47" i="72"/>
  <c r="D4" i="52"/>
  <c r="D9" i="52"/>
  <c r="D123" i="9"/>
  <c r="B22" i="72"/>
  <c r="D6" i="53"/>
  <c r="B51" i="72"/>
  <c r="F4" i="52"/>
  <c r="C73" i="9"/>
  <c r="C78" i="9"/>
  <c r="C68" i="9"/>
  <c r="D54" i="9"/>
  <c r="B30" i="72"/>
  <c r="C6" i="74"/>
  <c r="D13" i="53"/>
  <c r="D14" i="53"/>
  <c r="B32" i="72"/>
  <c r="N60" i="9"/>
  <c r="N59" i="9"/>
  <c r="N61" i="9"/>
  <c r="C64" i="9"/>
  <c r="C63" i="9"/>
  <c r="C67" i="9"/>
  <c r="D59" i="9"/>
  <c r="M55" i="9"/>
  <c r="E97" i="9"/>
  <c r="E96" i="9"/>
  <c r="C96" i="9"/>
  <c r="B53" i="72"/>
  <c r="F5" i="52"/>
  <c r="G118" i="9"/>
  <c r="F118" i="9"/>
  <c r="F119" i="9"/>
  <c r="C5" i="74"/>
  <c r="C86" i="9"/>
  <c r="C93" i="9"/>
  <c r="H102" i="9"/>
  <c r="D7" i="53"/>
  <c r="B21" i="72"/>
  <c r="C72" i="9"/>
  <c r="C79" i="9"/>
  <c r="C81" i="9"/>
  <c r="D5" i="53"/>
  <c r="B20" i="72"/>
  <c r="C85" i="9"/>
  <c r="C95" i="9"/>
  <c r="C97" i="9"/>
  <c r="D58" i="9"/>
  <c r="D56" i="9"/>
  <c r="M54" i="9"/>
  <c r="H5" i="52"/>
  <c r="H119" i="9"/>
  <c r="M48" i="9"/>
  <c r="H4" i="52"/>
  <c r="C104" i="9"/>
  <c r="B48" i="72"/>
  <c r="E4" i="52"/>
  <c r="I4" i="52"/>
  <c r="C105" i="9"/>
  <c r="D53" i="9"/>
  <c r="D52" i="9"/>
  <c r="P57" i="9"/>
  <c r="D45" i="9"/>
  <c r="D55" i="9"/>
  <c r="M53" i="9"/>
  <c r="N57" i="9"/>
  <c r="N58" i="9"/>
  <c r="E118" i="9"/>
  <c r="D118" i="9"/>
  <c r="D119" i="9"/>
  <c r="D5" i="52"/>
  <c r="B49" i="72"/>
  <c r="D122" i="9"/>
  <c r="D8" i="52"/>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<sst xmlns="http://schemas.openxmlformats.org/spreadsheetml/2006/main" count="9046" uniqueCount="3371">
  <si>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</si>
  <si>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</si>
  <si>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</si>
  <si>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</si>
  <si>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</si>
  <si>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</si>
  <si>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</si>
  <si>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</si>
  <si>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</si>
  <si>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</si>
  <si>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</si>
  <si>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</si>
  <si>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</si>
  <si>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</si>
  <si>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</si>
  <si>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</si>
  <si>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</si>
  <si>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</si>
  <si>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</si>
  <si>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</si>
  <si>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</si>
  <si>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</si>
  <si>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</si>
  <si>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</si>
  <si>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</si>
  <si>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</si>
  <si>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</si>
  <si>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</si>
  <si>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</si>
  <si>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</si>
  <si>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</si>
  <si>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</si>
  <si>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</si>
  <si>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</si>
  <si>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</si>
  <si>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</si>
  <si>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</si>
  <si>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</si>
  <si>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</si>
  <si>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</si>
  <si>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</si>
  <si>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</si>
  <si>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</si>
  <si>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</si>
  <si>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</si>
  <si>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</si>
  <si>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</si>
  <si>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</si>
  <si>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</si>
  <si>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</si>
  <si>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</si>
  <si>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</si>
  <si>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</si>
  <si>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</si>
  <si>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</si>
  <si>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</si>
  <si>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</si>
  <si>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</si>
  <si>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</si>
  <si>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</si>
  <si>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</si>
  <si>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</si>
  <si>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</si>
  <si>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</si>
  <si>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</si>
  <si>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</si>
  <si>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</si>
  <si>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</si>
  <si>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</si>
  <si>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</si>
  <si>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</si>
  <si>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</si>
  <si>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</si>
  <si>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</si>
  <si>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</si>
  <si>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</si>
  <si>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</si>
  <si>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</si>
  <si>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</si>
  <si>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</si>
  <si>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</si>
  <si>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</si>
  <si>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</si>
  <si>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</si>
  <si>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</si>
  <si>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</si>
  <si>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</si>
  <si>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</si>
  <si>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</si>
  <si>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</si>
  <si>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</si>
  <si>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</si>
  <si>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</si>
  <si>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</si>
  <si>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</si>
  <si>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</si>
  <si>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</si>
  <si>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</si>
  <si>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</si>
  <si>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</si>
  <si>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</si>
  <si>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</si>
  <si>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</si>
  <si>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</si>
  <si>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</si>
  <si>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</si>
  <si>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</si>
  <si>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</si>
  <si>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</si>
  <si>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</si>
  <si>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</si>
  <si>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</si>
  <si>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</si>
  <si>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</si>
  <si>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</si>
  <si>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</si>
  <si>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</si>
  <si>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</si>
  <si>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</si>
  <si>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</si>
  <si>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</si>
  <si>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</si>
  <si>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</si>
  <si>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</si>
  <si>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</si>
  <si>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</si>
  <si>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</si>
  <si>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</si>
  <si>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</si>
  <si>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</si>
  <si>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</si>
  <si>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</si>
  <si>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</si>
  <si>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</si>
  <si>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</si>
  <si>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</si>
  <si>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</si>
  <si>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</si>
  <si>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</si>
  <si>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</si>
  <si>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</si>
  <si>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</si>
  <si>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</si>
  <si>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</si>
  <si>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</si>
  <si>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</si>
  <si>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</si>
  <si>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</si>
  <si>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</si>
  <si>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</si>
  <si>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</si>
  <si>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</si>
  <si>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</si>
  <si>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</si>
  <si>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</si>
  <si>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</si>
  <si>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</si>
  <si>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</si>
  <si>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</si>
  <si>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</si>
  <si>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</si>
  <si>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</si>
  <si>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</si>
  <si>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</si>
  <si>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</si>
  <si>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</si>
  <si>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</si>
  <si>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</si>
  <si>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</si>
  <si>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</si>
  <si>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</si>
  <si>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</si>
  <si>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</si>
  <si>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</si>
  <si>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</si>
  <si>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</si>
  <si>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</si>
  <si>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</si>
  <si>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</si>
  <si>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</si>
  <si>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</si>
  <si>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</si>
  <si>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</si>
  <si>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</si>
  <si>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</si>
  <si>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</si>
  <si>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</si>
  <si>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</si>
  <si>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</si>
  <si>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</si>
  <si>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</si>
  <si>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</si>
  <si>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</si>
  <si>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</si>
  <si>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</si>
  <si>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</si>
  <si>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</si>
  <si>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</si>
  <si>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</si>
  <si>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</si>
  <si>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</si>
  <si>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</si>
  <si>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</si>
  <si>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</si>
  <si>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</si>
  <si>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</si>
  <si>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</si>
  <si>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</si>
  <si>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</si>
  <si>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</si>
  <si>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</si>
  <si>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</si>
  <si>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</si>
  <si>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</si>
  <si>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</si>
  <si>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</si>
  <si>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</si>
  <si>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</si>
  <si>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</si>
  <si>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</si>
  <si>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</si>
  <si>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</si>
  <si>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</si>
  <si>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</si>
  <si>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</si>
  <si>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</si>
  <si>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</si>
  <si>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</si>
  <si>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</si>
  <si>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</si>
  <si>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</si>
  <si>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</si>
  <si>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</si>
  <si>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</si>
  <si>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</si>
  <si>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</si>
  <si>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</si>
  <si>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</si>
  <si>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</si>
  <si>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</si>
  <si>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</si>
  <si>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</si>
  <si>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</si>
  <si>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</si>
  <si>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</si>
  <si>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</si>
  <si>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</si>
  <si>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</si>
  <si>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</si>
  <si>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</si>
  <si>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</si>
  <si>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</si>
  <si>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</si>
  <si>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</si>
  <si>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</si>
  <si>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</si>
  <si>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</si>
  <si>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</si>
  <si>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</si>
  <si>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</si>
  <si>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</si>
  <si>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</si>
  <si>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</si>
  <si>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</si>
  <si>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</si>
  <si>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</si>
  <si>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</si>
  <si>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</si>
  <si>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</si>
  <si>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</si>
  <si>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</si>
  <si>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</si>
  <si>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</si>
  <si>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</si>
  <si>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</si>
  <si>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</si>
  <si>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</si>
  <si>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</si>
  <si>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</si>
  <si>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</si>
  <si>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</si>
  <si>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</si>
  <si>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</si>
  <si>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</si>
  <si>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</si>
  <si>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</si>
  <si>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</si>
  <si>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</si>
  <si>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</si>
  <si>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</si>
  <si>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</si>
  <si>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</si>
  <si>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</si>
  <si>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</si>
  <si>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</si>
  <si>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</si>
  <si>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</si>
  <si>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</si>
  <si>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</si>
  <si>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</si>
  <si>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</si>
  <si>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</si>
  <si>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</si>
  <si>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</si>
  <si>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</si>
  <si>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</si>
  <si>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</si>
  <si>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</si>
  <si>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</si>
  <si>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</si>
  <si>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</si>
  <si>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</si>
  <si>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</si>
  <si>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</si>
  <si>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</si>
  <si>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</si>
  <si>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</si>
  <si>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</si>
  <si>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</si>
  <si>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</si>
  <si>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</si>
  <si>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</si>
  <si>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</si>
  <si>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</si>
  <si>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</si>
  <si>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</si>
  <si>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</si>
  <si>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</si>
  <si>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</si>
  <si>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</si>
  <si>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</si>
  <si>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</si>
  <si>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</si>
  <si>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</si>
  <si>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</si>
  <si>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</si>
  <si>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</si>
  <si>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</si>
  <si>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</si>
  <si>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</si>
  <si>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</si>
  <si>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</si>
  <si>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</si>
  <si>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</si>
  <si>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</si>
  <si>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</si>
  <si>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</si>
  <si>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</si>
  <si>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</si>
  <si>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</si>
  <si>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</si>
  <si>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</si>
  <si>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</si>
  <si>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</si>
  <si>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</si>
  <si>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</si>
  <si>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</si>
  <si>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</si>
  <si>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</si>
  <si>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</si>
  <si>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</si>
  <si>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</si>
  <si>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</si>
  <si>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</si>
  <si>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</si>
  <si>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</si>
  <si>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</si>
  <si>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</si>
  <si>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</si>
  <si>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</si>
  <si>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</si>
  <si>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</si>
  <si>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</si>
  <si>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</si>
  <si>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</si>
  <si>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</si>
  <si>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</si>
  <si>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</si>
  <si>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</si>
  <si>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</si>
  <si>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</si>
  <si>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</si>
  <si>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</si>
  <si>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</si>
  <si>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</si>
  <si>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</si>
  <si>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</si>
  <si>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</si>
  <si>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</si>
  <si>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</si>
  <si>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</si>
  <si>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</si>
  <si>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</si>
  <si>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</si>
  <si>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</si>
  <si>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</si>
  <si>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</si>
  <si>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</si>
  <si>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</si>
  <si>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</si>
  <si>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</si>
  <si>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</si>
  <si>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</si>
  <si>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</si>
  <si>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</si>
  <si>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</si>
  <si>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</si>
  <si>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</si>
  <si>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</si>
  <si>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</si>
  <si>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</si>
  <si>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</si>
  <si>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</si>
  <si>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</si>
  <si>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</si>
  <si>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</si>
  <si>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</si>
  <si>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</si>
  <si>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</si>
  <si>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</si>
  <si>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</si>
  <si>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</si>
  <si>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</si>
  <si>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</si>
  <si>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</si>
  <si>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</si>
  <si>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</si>
  <si>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</si>
  <si>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</si>
  <si>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</si>
  <si>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</si>
  <si>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</si>
  <si>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</si>
  <si>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</si>
  <si>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</si>
  <si>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</si>
  <si>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</si>
  <si>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</si>
  <si>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</si>
  <si>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</si>
  <si>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</si>
  <si>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</si>
  <si>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</si>
  <si>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</si>
  <si>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</si>
  <si>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</si>
  <si>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</si>
  <si>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</si>
  <si>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</si>
  <si>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</si>
  <si>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</si>
  <si>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</si>
  <si>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</si>
  <si>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</si>
  <si>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</si>
  <si>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</si>
  <si>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</si>
  <si>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</si>
  <si>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</si>
  <si>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</si>
  <si>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</si>
  <si>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</si>
  <si>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</si>
  <si>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</si>
  <si>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</si>
  <si>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</si>
  <si>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</si>
  <si>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</si>
  <si>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</si>
  <si>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</si>
  <si>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</si>
  <si>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</si>
  <si>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</si>
  <si>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</si>
  <si>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</si>
  <si>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</si>
  <si>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</si>
  <si>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</si>
  <si>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</si>
  <si>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</si>
  <si>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</si>
  <si>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</si>
  <si>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</si>
  <si>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</si>
  <si>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</si>
  <si>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</si>
  <si>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</si>
  <si>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</si>
  <si>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</si>
  <si>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</si>
  <si>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</si>
  <si>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</si>
  <si>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</si>
  <si>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</si>
  <si>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</si>
  <si>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</si>
  <si>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</si>
  <si>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</si>
  <si>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</si>
  <si>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</si>
  <si>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</si>
  <si>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</si>
  <si>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</si>
  <si>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</si>
  <si>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</si>
  <si>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</si>
  <si>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</si>
  <si>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</si>
  <si>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</si>
  <si>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</si>
  <si>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</si>
  <si>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</si>
  <si>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</si>
  <si>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</si>
  <si>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</si>
  <si>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</si>
  <si>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</si>
  <si>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</si>
  <si>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</si>
  <si>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</si>
  <si>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</si>
  <si>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</si>
  <si>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</si>
  <si>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</si>
  <si>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</si>
  <si>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</si>
  <si>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</si>
  <si>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</si>
  <si>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</si>
  <si>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</si>
  <si>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</si>
  <si>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</si>
  <si>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</si>
  <si>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</si>
  <si>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</si>
  <si>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</si>
  <si>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</si>
  <si>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</si>
  <si>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</si>
  <si>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</si>
  <si>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</si>
  <si>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</si>
  <si>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</si>
  <si>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</si>
  <si>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</si>
  <si>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</si>
  <si>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</si>
  <si>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</si>
  <si>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</si>
  <si>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</si>
  <si>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</si>
  <si>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</si>
  <si>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</si>
  <si>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</si>
  <si>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</si>
  <si>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</si>
  <si>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</si>
  <si>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</si>
  <si>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</si>
  <si>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</si>
  <si>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</si>
  <si>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</si>
  <si>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</si>
  <si>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</si>
  <si>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</si>
  <si>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</si>
  <si>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</si>
  <si>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</si>
  <si>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</si>
  <si>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</si>
  <si>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</si>
  <si>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</si>
  <si>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</si>
  <si>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</si>
  <si>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</si>
  <si>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</si>
  <si>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</si>
  <si>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</si>
  <si>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</si>
  <si>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</si>
  <si>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</si>
  <si>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</si>
  <si>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</si>
  <si>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</si>
  <si>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</si>
  <si>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</si>
  <si>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</si>
  <si>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</si>
  <si>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</si>
  <si>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</si>
  <si>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</si>
  <si>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</si>
  <si>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</si>
  <si>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</si>
  <si>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</si>
  <si>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</si>
  <si>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</si>
  <si>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</si>
  <si>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</si>
  <si>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</si>
  <si>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</si>
  <si>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</si>
  <si>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</si>
  <si>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</si>
  <si>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</si>
  <si>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</si>
  <si>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</si>
  <si>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</si>
  <si>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</si>
  <si>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</si>
  <si>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</si>
  <si>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</si>
  <si>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</si>
  <si>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</si>
  <si>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</si>
  <si>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</si>
  <si>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</si>
  <si>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</si>
  <si>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</si>
  <si>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</si>
  <si>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</si>
  <si>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</si>
  <si>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</si>
  <si>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</si>
  <si>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</si>
  <si>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</si>
  <si>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</si>
  <si>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</si>
  <si>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</si>
  <si>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</si>
  <si>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</si>
  <si>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</si>
  <si>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</si>
  <si>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</si>
  <si>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</si>
  <si>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</si>
  <si>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</si>
  <si>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</si>
  <si>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</si>
  <si>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</si>
  <si>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</si>
  <si>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</si>
  <si>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</si>
  <si>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</si>
  <si>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</si>
  <si>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</si>
  <si>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</si>
  <si>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</si>
  <si>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</si>
  <si>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</si>
  <si>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</si>
  <si>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</si>
  <si>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</si>
  <si>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</si>
  <si>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</si>
  <si>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</si>
  <si>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</si>
  <si>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</si>
  <si>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</si>
  <si>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</si>
  <si>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</si>
  <si>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</si>
  <si>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</si>
  <si>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</si>
  <si>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</si>
  <si>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</si>
  <si>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</si>
  <si>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</si>
  <si>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</si>
  <si>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</si>
  <si>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</si>
  <si>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</si>
  <si>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</si>
  <si>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</si>
  <si>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</si>
  <si>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</si>
  <si>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</si>
  <si>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</si>
  <si>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</si>
  <si>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</si>
  <si>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</si>
  <si>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</si>
  <si>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</si>
  <si>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</si>
  <si>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</si>
  <si>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</si>
  <si>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</si>
  <si>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</si>
  <si>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</si>
  <si>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</si>
  <si>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</si>
  <si>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</si>
  <si>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</si>
  <si>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</si>
  <si>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</si>
  <si>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</si>
  <si>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</si>
  <si>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</si>
  <si>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</si>
  <si>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</si>
  <si>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</si>
  <si>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</si>
  <si>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</si>
  <si>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</si>
  <si>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</si>
  <si>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</si>
  <si>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</si>
  <si>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</si>
  <si>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</si>
  <si>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</si>
  <si>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</si>
  <si>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</si>
  <si>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</si>
  <si>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</si>
  <si>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</si>
  <si>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</si>
  <si>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</si>
  <si>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</si>
  <si>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</si>
  <si>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</si>
  <si>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</si>
  <si>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</si>
  <si>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</si>
  <si>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</si>
  <si>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</si>
  <si>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</si>
  <si>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</si>
  <si>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</si>
  <si>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</si>
  <si>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</si>
  <si>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</si>
  <si>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</si>
  <si>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</si>
  <si>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</si>
  <si>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</si>
  <si>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</si>
  <si>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</si>
  <si>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</si>
  <si>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</si>
  <si>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</si>
  <si>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</si>
  <si>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</si>
  <si>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</si>
  <si>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</si>
  <si>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</si>
  <si>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</si>
  <si>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</si>
  <si>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</si>
  <si>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</si>
  <si>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</si>
  <si>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</si>
  <si>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</si>
  <si>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</si>
  <si>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</si>
  <si>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</si>
  <si>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</si>
  <si>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</si>
  <si>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</si>
  <si>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</si>
  <si>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</si>
  <si>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</si>
  <si>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</si>
  <si>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</si>
  <si>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</si>
  <si>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</si>
  <si>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</si>
  <si>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</si>
  <si>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</si>
  <si>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</si>
  <si>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</si>
  <si>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</si>
  <si>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</si>
  <si>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</si>
  <si>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</si>
  <si>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</si>
  <si>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</si>
  <si>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</si>
  <si>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</si>
  <si>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</si>
  <si>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</si>
  <si>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</si>
  <si>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</si>
  <si>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</si>
  <si>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</si>
  <si>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</si>
  <si>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</si>
  <si>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</si>
  <si>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</si>
  <si>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</si>
  <si>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</si>
  <si>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</si>
  <si>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</si>
  <si>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</si>
  <si>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</si>
  <si>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</si>
  <si>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</si>
  <si>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</si>
  <si>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</si>
  <si>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</si>
  <si>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</si>
  <si>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</si>
  <si>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</si>
  <si>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</si>
  <si>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</si>
  <si>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</si>
  <si>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</si>
  <si>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</si>
  <si>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</si>
  <si>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</si>
  <si>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</si>
  <si>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</si>
  <si>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</si>
  <si>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</si>
  <si>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</si>
  <si>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</si>
  <si>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</si>
  <si>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</si>
  <si>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</si>
  <si>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</si>
  <si>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</si>
  <si>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</si>
  <si>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</si>
  <si>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</si>
  <si>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</si>
  <si>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</si>
  <si>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</si>
  <si>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</si>
  <si>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</si>
  <si>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</si>
  <si>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</si>
  <si>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</si>
  <si>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</si>
  <si>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</si>
  <si>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</si>
  <si>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</si>
  <si>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</si>
  <si>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</si>
  <si>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</si>
  <si>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</si>
  <si>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</si>
  <si>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</si>
  <si>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</si>
  <si>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</si>
  <si>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</si>
  <si>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</si>
  <si>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</si>
  <si>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</si>
  <si>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</si>
  <si>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</si>
  <si>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</si>
  <si>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</si>
  <si>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</si>
  <si>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</si>
  <si>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</si>
  <si>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</si>
  <si>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</si>
  <si>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</si>
  <si>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</si>
  <si>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</si>
  <si>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</si>
  <si>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</si>
  <si>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</si>
  <si>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</si>
  <si>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</si>
  <si>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</si>
  <si>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</si>
  <si>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</si>
  <si>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</si>
  <si>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</si>
  <si>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</si>
  <si>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</si>
  <si>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</si>
  <si>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</si>
  <si>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</si>
  <si>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</si>
  <si>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</si>
  <si>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</si>
  <si>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</si>
  <si>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</si>
  <si>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</si>
  <si>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</si>
  <si>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</si>
  <si>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</si>
  <si>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</si>
  <si>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</si>
  <si>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</si>
  <si>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</si>
  <si>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</si>
  <si>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</si>
  <si>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</si>
  <si>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</si>
  <si>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</si>
  <si>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</si>
  <si>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</si>
  <si>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</si>
  <si>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</si>
  <si>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</si>
  <si>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</si>
  <si>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</si>
  <si>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</si>
  <si>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</si>
  <si>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</si>
  <si>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</si>
  <si>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</si>
  <si>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</si>
  <si>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</si>
  <si>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</si>
  <si>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</si>
  <si>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</si>
  <si>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</si>
  <si>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</si>
  <si>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</si>
  <si>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</si>
  <si>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</si>
  <si>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</si>
  <si>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</si>
  <si>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</si>
  <si>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</si>
  <si>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</si>
  <si>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</si>
  <si>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</si>
  <si>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</si>
  <si>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</si>
  <si>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</si>
  <si>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</si>
  <si>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</si>
  <si>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</si>
  <si>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</si>
  <si>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</si>
  <si>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</si>
  <si>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</si>
  <si>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</si>
  <si>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</si>
  <si>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</si>
  <si>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</si>
  <si>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</si>
  <si>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</si>
  <si>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</si>
  <si>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</si>
  <si>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</si>
  <si>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</si>
  <si>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</si>
  <si>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</si>
  <si>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</si>
  <si>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</si>
  <si>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</si>
  <si>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</si>
  <si>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</si>
  <si>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</si>
  <si>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</si>
  <si>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</si>
  <si>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</si>
  <si>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</si>
  <si>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</si>
  <si>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</si>
  <si>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</si>
  <si>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</si>
  <si>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</si>
  <si>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</si>
  <si>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</si>
  <si>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</si>
  <si>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</si>
  <si>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</si>
  <si>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</si>
  <si>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</si>
  <si>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</si>
  <si>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</si>
  <si>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</si>
  <si>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</si>
  <si>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</si>
  <si>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</si>
  <si>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</si>
  <si>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</si>
  <si>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</si>
  <si>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</si>
  <si>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</si>
  <si>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</si>
  <si>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</si>
  <si>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</si>
  <si>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</si>
  <si>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</si>
  <si>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</si>
  <si>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</si>
  <si>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</si>
  <si>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</si>
  <si>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</si>
  <si>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</si>
  <si>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</si>
  <si>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</si>
  <si>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</si>
  <si>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</si>
  <si>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</si>
  <si>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</si>
  <si>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</si>
  <si>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</si>
  <si>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</si>
  <si>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</si>
  <si>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</si>
  <si>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</si>
  <si>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</si>
  <si>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</si>
  <si>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</si>
  <si>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</si>
  <si>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</si>
  <si>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</si>
  <si>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</si>
  <si>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</si>
  <si>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</si>
  <si>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</si>
  <si>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</si>
  <si>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</si>
  <si>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</si>
  <si>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</si>
  <si>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</si>
  <si>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</si>
  <si>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</si>
  <si>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</si>
  <si>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</si>
  <si>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</si>
  <si>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</si>
  <si>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</si>
  <si>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</si>
  <si>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</si>
  <si>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</si>
  <si>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</si>
  <si>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</si>
  <si>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</si>
  <si>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</si>
  <si>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</si>
  <si>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</si>
  <si>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</si>
  <si>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</si>
  <si>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</si>
  <si>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</si>
  <si>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</si>
  <si>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</si>
  <si>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</si>
  <si>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</si>
  <si>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</si>
  <si>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</si>
  <si>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</si>
  <si>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</si>
  <si>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</si>
  <si>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</si>
  <si>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</si>
  <si>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</si>
  <si>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</si>
  <si>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</si>
  <si>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</si>
  <si>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</si>
  <si>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</si>
  <si>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</si>
  <si>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</si>
  <si>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</si>
  <si>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</si>
  <si>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</si>
  <si>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</si>
  <si>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</si>
  <si>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</si>
  <si>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</si>
  <si>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</si>
  <si>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</si>
  <si>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</si>
  <si>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</si>
  <si>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</si>
  <si>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</si>
  <si>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</si>
  <si>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</si>
  <si>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</si>
  <si>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</si>
  <si>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</si>
  <si>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</si>
  <si>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</si>
  <si>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</si>
  <si>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</si>
  <si>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</si>
  <si>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</si>
  <si>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</si>
  <si>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</si>
  <si>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</si>
  <si>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</si>
  <si>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</si>
  <si>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</si>
  <si>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</si>
  <si>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</si>
  <si>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</si>
  <si>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</si>
  <si>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</si>
  <si>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</si>
  <si>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</si>
  <si>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</si>
  <si>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</si>
  <si>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</si>
  <si>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</si>
  <si>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</si>
  <si>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</si>
  <si>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</si>
  <si>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</si>
  <si>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</si>
  <si>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</si>
  <si>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</si>
  <si>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</si>
  <si>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</si>
  <si>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</si>
  <si>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</si>
  <si>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</si>
  <si>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</si>
  <si>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</si>
  <si>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</si>
  <si>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</si>
  <si>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</si>
  <si>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</si>
  <si>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</si>
  <si>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</si>
  <si>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</si>
  <si>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</si>
  <si>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</si>
  <si>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</si>
  <si>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</si>
  <si>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</si>
  <si>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</si>
  <si>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</si>
  <si>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</si>
  <si>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</si>
  <si>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</si>
  <si>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</si>
  <si>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</si>
  <si>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</si>
  <si>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</si>
  <si>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</si>
  <si>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</si>
  <si>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</si>
  <si>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</si>
  <si>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</si>
  <si>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</si>
  <si>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</si>
  <si>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</si>
  <si>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</si>
  <si>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</si>
  <si>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</si>
  <si>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</si>
  <si>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</si>
  <si>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</si>
  <si>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</si>
  <si>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</si>
  <si>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</si>
  <si>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</si>
  <si>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</si>
  <si>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</si>
  <si>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</si>
  <si>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</si>
  <si>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</si>
  <si>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</si>
  <si>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</si>
  <si>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</si>
  <si>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</si>
  <si>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</si>
  <si>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</si>
  <si>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</si>
  <si>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</si>
  <si>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</si>
  <si>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</si>
  <si>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</si>
  <si>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</si>
  <si>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</si>
  <si>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</si>
  <si>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</si>
  <si>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</si>
  <si>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</si>
  <si>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</si>
  <si>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</si>
  <si>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</si>
  <si>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</si>
  <si>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</si>
  <si>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</si>
  <si>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</si>
  <si>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</si>
  <si>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</si>
  <si>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</si>
  <si>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</si>
  <si>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</si>
  <si>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</si>
  <si>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</si>
  <si>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</si>
  <si>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</si>
  <si>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</si>
  <si>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</si>
  <si>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</si>
  <si>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</si>
  <si>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</si>
  <si>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</si>
  <si>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</si>
  <si>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</si>
  <si>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</si>
  <si>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</si>
  <si>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</si>
  <si>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</si>
  <si>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</si>
  <si>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</si>
  <si>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</si>
  <si>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</si>
  <si>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</si>
  <si>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</si>
  <si>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</si>
  <si>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</si>
  <si>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</si>
  <si>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</si>
  <si>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</si>
  <si>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</si>
  <si>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</si>
  <si>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</si>
  <si>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</si>
  <si>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</si>
  <si>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</si>
  <si>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</si>
  <si>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</si>
  <si>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</si>
  <si>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</si>
  <si>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</si>
  <si>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</si>
  <si>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</si>
  <si>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</si>
  <si>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</si>
  <si>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</si>
  <si>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</si>
  <si>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</si>
  <si>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</si>
  <si>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</si>
  <si>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</si>
  <si>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</si>
  <si>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</si>
  <si>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</si>
  <si>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</si>
  <si>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</si>
  <si>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</si>
  <si>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</si>
  <si>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</si>
  <si>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</si>
  <si>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</si>
  <si>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</si>
  <si>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</si>
  <si>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</si>
  <si>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</si>
  <si>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</si>
  <si>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</si>
  <si>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</si>
  <si>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</si>
  <si>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</si>
  <si>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</si>
  <si>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</si>
  <si>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</si>
  <si>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</si>
  <si>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</si>
  <si>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</si>
  <si>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</si>
  <si>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</si>
  <si>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</si>
  <si>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</si>
  <si>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</si>
  <si>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</si>
  <si>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</si>
  <si>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</si>
  <si>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</si>
  <si>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</si>
  <si>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</si>
  <si>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</si>
  <si>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</si>
  <si>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</si>
  <si>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</si>
  <si>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</si>
  <si>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</si>
  <si>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</si>
  <si>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</si>
  <si>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</si>
  <si>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</si>
  <si>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</si>
  <si>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</si>
  <si>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</si>
  <si>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</si>
  <si>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</si>
  <si>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</si>
  <si>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</si>
  <si>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</si>
  <si>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</si>
  <si>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</si>
  <si>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</si>
  <si>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</si>
  <si>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</si>
  <si>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</si>
  <si>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</si>
  <si>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</si>
  <si>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</si>
  <si>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</si>
  <si>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</si>
  <si>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</si>
  <si>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</si>
  <si>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</si>
  <si>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</si>
  <si>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</si>
  <si>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</si>
  <si>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</si>
  <si>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</si>
  <si>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</si>
  <si>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</si>
  <si>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</si>
  <si>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</si>
  <si>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</si>
  <si>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</si>
  <si>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</si>
  <si>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</si>
  <si>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</si>
  <si>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</si>
  <si>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</si>
  <si>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</si>
  <si>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</si>
  <si>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</si>
  <si>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</si>
  <si>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</si>
  <si>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</si>
  <si>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</si>
  <si>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</si>
  <si>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</si>
  <si>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</si>
  <si>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</si>
  <si>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</si>
  <si>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</si>
  <si>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</si>
  <si>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</si>
  <si>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</si>
  <si>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</si>
  <si>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</si>
  <si>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</si>
  <si>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</si>
  <si>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</si>
  <si>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</si>
  <si>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</si>
  <si>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</si>
  <si>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</si>
  <si>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</si>
  <si>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</si>
  <si>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</si>
  <si>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</si>
  <si>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</si>
  <si>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</si>
  <si>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</si>
  <si>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</si>
  <si>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</si>
  <si>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</si>
  <si>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</si>
  <si>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</si>
  <si>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</si>
  <si>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</si>
  <si>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</si>
  <si>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</si>
  <si>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</si>
  <si>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</si>
  <si>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</si>
  <si>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</si>
  <si>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</si>
  <si>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</si>
  <si>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</si>
  <si>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</si>
  <si>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</si>
  <si>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</si>
  <si>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</si>
  <si>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</si>
  <si>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</si>
  <si>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</si>
  <si>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</si>
  <si>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</si>
  <si>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</si>
  <si>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</si>
  <si>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</si>
  <si>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</si>
  <si>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</si>
  <si>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</si>
  <si>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</si>
  <si>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</si>
  <si>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</si>
  <si>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</si>
  <si>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</si>
  <si>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</si>
  <si>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</si>
  <si>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</si>
  <si>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</si>
  <si>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</si>
  <si>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</si>
  <si>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</si>
  <si>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</si>
  <si>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</si>
  <si>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</si>
  <si>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</si>
  <si>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</si>
  <si>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</si>
  <si>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</si>
  <si>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</si>
  <si>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</si>
  <si>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</si>
  <si>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</si>
  <si>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</si>
  <si>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</si>
  <si>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</si>
  <si>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</si>
  <si>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</si>
  <si>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</si>
  <si>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</si>
  <si>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</si>
  <si>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</si>
  <si>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</si>
  <si>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</si>
  <si>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</si>
  <si>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</si>
  <si>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</si>
  <si>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</si>
  <si>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</si>
  <si>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</si>
  <si>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</si>
  <si>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</si>
  <si>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</si>
  <si>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</si>
  <si>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</si>
  <si>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</si>
  <si>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</si>
  <si>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</si>
  <si>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</si>
  <si>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</si>
  <si>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</si>
  <si>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</si>
  <si>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</si>
  <si>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</si>
  <si>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</si>
  <si>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</si>
  <si>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</si>
  <si>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</si>
  <si>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</si>
  <si>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</si>
  <si>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</si>
  <si>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</si>
  <si>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</si>
  <si>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</si>
  <si>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</si>
  <si>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</si>
  <si>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</si>
  <si>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</si>
  <si>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</si>
  <si>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</si>
  <si>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</si>
  <si>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</si>
  <si>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</si>
  <si>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</si>
  <si>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</si>
  <si>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</si>
  <si>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</si>
  <si>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</si>
  <si>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</si>
  <si>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</si>
  <si>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</si>
  <si>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</si>
  <si>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</si>
  <si>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</si>
  <si>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</si>
  <si>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</si>
  <si>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</si>
  <si>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</si>
  <si>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</si>
  <si>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</si>
  <si>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</si>
  <si>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</si>
  <si>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</si>
  <si>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</si>
  <si>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</si>
  <si>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</si>
  <si>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</si>
  <si>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</si>
  <si>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</si>
  <si>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</si>
  <si>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</si>
  <si>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</si>
  <si>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</si>
  <si>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</si>
  <si>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</si>
  <si>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</si>
  <si>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</si>
  <si>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</si>
  <si>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</si>
  <si>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</si>
  <si>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</si>
  <si>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</si>
  <si>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</si>
  <si>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</si>
  <si>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</si>
  <si>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</si>
  <si>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</si>
  <si>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</si>
  <si>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</si>
  <si>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</si>
  <si>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</si>
  <si>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</si>
  <si>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</si>
  <si>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</si>
  <si>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</si>
  <si>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</si>
  <si>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</si>
  <si>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</si>
  <si>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</si>
  <si>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</si>
  <si>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</si>
  <si>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</si>
  <si>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</si>
  <si>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</si>
  <si>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</si>
  <si>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</si>
  <si>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</si>
  <si>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</si>
  <si>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</si>
  <si>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</si>
  <si>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</si>
  <si>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</si>
  <si>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</si>
  <si>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</si>
  <si>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</si>
  <si>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</si>
  <si>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</si>
  <si>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</si>
  <si>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</si>
  <si>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</si>
  <si>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</si>
  <si>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</si>
  <si>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</si>
  <si>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</si>
  <si>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</si>
  <si>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</si>
  <si>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</si>
  <si>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</si>
  <si>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</si>
  <si>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</si>
  <si>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</si>
  <si>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</si>
  <si>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</si>
  <si>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</si>
  <si>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</si>
  <si>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</si>
  <si>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</si>
  <si>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</si>
  <si>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</si>
  <si>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</si>
  <si>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</si>
  <si>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</si>
  <si>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</si>
  <si>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</si>
  <si>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</si>
  <si>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</si>
  <si>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</si>
  <si>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</si>
  <si>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</si>
  <si>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</si>
  <si>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</si>
  <si>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</si>
  <si>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</si>
  <si>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</si>
  <si>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</si>
  <si>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</si>
  <si>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</si>
  <si>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</si>
  <si>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</si>
  <si>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</si>
  <si>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</si>
  <si>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</si>
  <si>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</si>
  <si>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</si>
  <si>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</si>
  <si>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</si>
  <si>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</si>
  <si>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</si>
  <si>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</si>
  <si>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</si>
  <si>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</si>
  <si>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</si>
  <si>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</si>
  <si>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</si>
  <si>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</si>
  <si>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</si>
  <si>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</si>
  <si>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</si>
  <si>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</si>
  <si>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</si>
  <si>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</si>
  <si>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</si>
  <si>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</si>
  <si>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</si>
  <si>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</si>
  <si>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</si>
  <si>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</si>
  <si>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</si>
  <si>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</si>
  <si>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</si>
  <si>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</si>
  <si>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</si>
  <si>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</si>
  <si>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</si>
  <si>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</si>
  <si>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</si>
  <si>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</si>
  <si>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</si>
  <si>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</si>
  <si>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</si>
  <si>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</si>
  <si>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</si>
  <si>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</si>
  <si>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</si>
  <si>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</si>
  <si>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</si>
  <si>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</si>
  <si>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</si>
  <si>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</si>
  <si>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</si>
  <si>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</si>
  <si>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</si>
  <si>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</si>
  <si>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</si>
  <si>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</si>
  <si>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</si>
  <si>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</si>
  <si>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</si>
  <si>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</si>
  <si>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</si>
  <si>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</si>
  <si>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</si>
  <si>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</si>
  <si>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</si>
  <si>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</si>
  <si>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</si>
  <si>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</si>
  <si>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</si>
  <si>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</si>
  <si>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</si>
  <si>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</si>
  <si>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</si>
  <si>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</si>
  <si>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</si>
  <si>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</si>
  <si>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</si>
  <si>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</si>
  <si>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</si>
  <si>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</si>
  <si>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</si>
  <si>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</si>
  <si>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</si>
  <si>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</si>
  <si>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</si>
  <si>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</si>
  <si>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</si>
  <si>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</si>
  <si>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</si>
  <si>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</si>
  <si>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</si>
  <si>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</si>
  <si>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</si>
  <si>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</si>
  <si>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</si>
  <si>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</si>
  <si>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</si>
  <si>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</si>
  <si>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</si>
  <si>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</si>
  <si>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</si>
  <si>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</si>
  <si>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</si>
  <si>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</si>
  <si>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</si>
  <si>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</si>
  <si>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</si>
  <si>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</si>
  <si>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</si>
  <si>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</si>
  <si>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</si>
  <si>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</si>
  <si>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</si>
  <si>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</si>
  <si>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</si>
  <si>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</si>
  <si>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</si>
  <si>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</si>
  <si>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</si>
  <si>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</si>
  <si>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</si>
  <si>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</si>
  <si>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</si>
  <si>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</si>
  <si>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</si>
  <si>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</si>
  <si>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</si>
  <si>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</si>
  <si>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</si>
  <si>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</si>
  <si>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</si>
  <si>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</si>
  <si>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</si>
  <si>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</si>
  <si>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</si>
  <si>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</si>
  <si>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</si>
  <si>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</si>
  <si>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</si>
  <si>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</si>
  <si>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</si>
  <si>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</si>
  <si>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</si>
  <si>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</si>
  <si>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</si>
  <si>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</si>
  <si>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</si>
  <si>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</si>
  <si>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</si>
  <si>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</si>
  <si>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</si>
  <si>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</si>
  <si>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</si>
  <si>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</si>
  <si>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</si>
  <si>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</si>
  <si>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</si>
  <si>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</si>
  <si>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</si>
  <si>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</si>
  <si>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</si>
  <si>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</si>
  <si>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</si>
  <si>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</si>
  <si>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</si>
  <si>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</si>
  <si>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</si>
  <si>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</si>
  <si>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</si>
  <si>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</si>
  <si>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</si>
  <si>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</si>
  <si>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</si>
  <si>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</si>
  <si>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</si>
  <si>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</si>
  <si>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</si>
  <si>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</si>
  <si>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</si>
  <si>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</si>
  <si>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</si>
  <si>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</si>
  <si>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</si>
  <si>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</si>
  <si>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</si>
  <si>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</si>
  <si>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</si>
  <si>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</si>
  <si>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</si>
  <si>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</si>
  <si>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</si>
  <si>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</si>
  <si>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</si>
  <si>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</si>
  <si>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</si>
  <si>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</si>
  <si>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</si>
  <si>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</si>
  <si>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</si>
  <si>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</si>
  <si>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</si>
  <si>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</si>
  <si>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</si>
  <si>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</si>
  <si>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</si>
  <si>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</si>
  <si>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</si>
  <si>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</si>
  <si>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</si>
  <si>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</si>
  <si>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</si>
  <si>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</si>
  <si>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</si>
  <si>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</si>
  <si>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</si>
  <si>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</si>
  <si>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</si>
  <si>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</si>
  <si>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</si>
  <si>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</si>
  <si>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</si>
  <si>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</si>
  <si>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</si>
  <si>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</si>
  <si>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</si>
  <si>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</si>
  <si>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</si>
  <si>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</si>
  <si>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</si>
  <si>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</si>
  <si>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</si>
  <si>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</si>
  <si>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</si>
  <si>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</si>
  <si>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</si>
  <si>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</si>
  <si>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</si>
  <si>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</si>
  <si>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</si>
  <si>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</si>
  <si>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</si>
  <si>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</si>
  <si>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</si>
  <si>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</si>
  <si>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</si>
  <si>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</si>
  <si>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</si>
  <si>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</si>
  <si>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</si>
  <si>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</si>
  <si>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</si>
  <si>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</si>
  <si>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</si>
  <si>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</si>
  <si>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</si>
  <si>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</si>
  <si>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</si>
  <si>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</si>
  <si>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</si>
  <si>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</si>
  <si>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</si>
  <si>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</si>
  <si>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</si>
  <si>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</si>
  <si>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</si>
  <si>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</si>
  <si>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</si>
  <si>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</si>
  <si>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</si>
  <si>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</si>
  <si>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</si>
  <si>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</si>
  <si>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</si>
  <si>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</si>
  <si>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</si>
  <si>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</si>
  <si>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</si>
  <si>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</si>
  <si>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</si>
  <si>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</si>
  <si>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</si>
  <si>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</si>
  <si>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</si>
  <si>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</si>
  <si>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</si>
  <si>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</si>
  <si>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</si>
  <si>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</si>
  <si>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</si>
  <si>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</si>
  <si>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</si>
  <si>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</si>
  <si>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</si>
  <si>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</si>
  <si>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</si>
  <si>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</si>
  <si>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</si>
  <si>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</si>
  <si>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</si>
  <si>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</si>
  <si>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</si>
  <si>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</si>
  <si>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</si>
  <si>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</si>
  <si>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</si>
  <si>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</si>
  <si>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</si>
  <si>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</si>
  <si>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</si>
  <si>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</si>
  <si>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</si>
  <si>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</si>
  <si>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</si>
  <si>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</si>
  <si>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</si>
  <si>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</si>
  <si>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</si>
  <si>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</si>
  <si>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</si>
  <si>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</si>
  <si>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</si>
  <si>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</si>
  <si>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</si>
  <si>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</si>
  <si>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</si>
  <si>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</si>
  <si>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</si>
  <si>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</si>
  <si>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</si>
  <si>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</si>
  <si>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</si>
  <si>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</si>
  <si>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</si>
  <si>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</si>
  <si>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</si>
  <si>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</si>
  <si>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</si>
  <si>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</si>
  <si>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</si>
  <si>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</si>
  <si>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</si>
  <si>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</si>
  <si>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</si>
  <si>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</si>
  <si>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</si>
  <si>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</si>
  <si>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</si>
  <si>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</si>
  <si>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</si>
  <si>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</si>
  <si>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</si>
  <si>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</si>
  <si>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</si>
  <si>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</si>
  <si>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</si>
  <si>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</si>
  <si>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</si>
  <si>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</si>
  <si>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</si>
  <si>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</si>
  <si>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</si>
  <si>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</si>
  <si>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</si>
  <si>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</si>
  <si>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</si>
  <si>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</si>
  <si>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</si>
  <si>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</si>
  <si>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</si>
  <si>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</si>
  <si>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</si>
  <si>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</si>
  <si>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</si>
  <si>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</si>
  <si>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</si>
  <si>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</si>
  <si>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</si>
  <si>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</si>
  <si>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</si>
  <si>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</si>
  <si>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</si>
  <si>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</si>
  <si>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</si>
  <si>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</si>
  <si>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</si>
  <si>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</si>
  <si>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</si>
  <si>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</si>
  <si>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</si>
  <si>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</si>
  <si>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</si>
  <si>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</si>
  <si>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</si>
  <si>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</si>
  <si>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</si>
  <si>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</si>
  <si>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</si>
  <si>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</si>
  <si>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</si>
  <si>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</si>
  <si>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</si>
  <si>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</si>
  <si>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</si>
  <si>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</si>
  <si>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</si>
  <si>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</si>
  <si>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</si>
  <si>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</si>
  <si>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</si>
  <si>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</si>
  <si>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</si>
  <si>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</si>
  <si>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</si>
  <si>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</si>
  <si>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</si>
  <si>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</si>
  <si>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</si>
  <si>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</si>
  <si>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</si>
  <si>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</si>
  <si>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</si>
  <si>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</si>
  <si>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</si>
  <si>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</si>
  <si>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</si>
  <si>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</si>
  <si>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</si>
  <si>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</si>
  <si>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</si>
  <si>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</si>
  <si>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</si>
  <si>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</si>
  <si>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</si>
  <si>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</si>
  <si>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</si>
  <si>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</si>
  <si>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</si>
  <si>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</si>
  <si>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</si>
  <si>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</si>
  <si>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</si>
  <si>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</si>
  <si>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</si>
  <si>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</si>
  <si>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</si>
  <si>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</si>
  <si>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</si>
  <si>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</si>
  <si>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</si>
  <si>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</si>
  <si>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</si>
  <si>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</si>
  <si>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</si>
  <si>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</si>
  <si>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</si>
  <si>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</si>
  <si>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</si>
  <si>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</si>
  <si>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</si>
  <si>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</si>
  <si>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</si>
  <si>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</si>
  <si>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</si>
  <si>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</si>
  <si>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</si>
  <si>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</si>
  <si>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</si>
  <si>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</si>
  <si>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</si>
  <si>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</si>
  <si>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</si>
  <si>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</si>
  <si>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</si>
  <si>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</si>
  <si>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</si>
  <si>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</si>
  <si>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</si>
  <si>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</si>
  <si>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</si>
  <si>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</si>
  <si>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</si>
  <si>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</si>
  <si>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</si>
  <si>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</si>
  <si>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</si>
  <si>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</si>
  <si>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</si>
  <si>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</si>
  <si>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</si>
  <si>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</si>
  <si>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</si>
  <si>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</si>
  <si>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</si>
  <si>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</si>
  <si>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</si>
  <si>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</si>
  <si>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</si>
  <si>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</si>
  <si>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</si>
  <si>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</si>
  <si>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</si>
  <si>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</si>
  <si>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</si>
  <si>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</si>
  <si>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</si>
  <si>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</si>
  <si>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</si>
  <si>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</si>
  <si>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</si>
  <si>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</si>
  <si>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</si>
  <si>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</si>
  <si>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</si>
  <si>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</si>
  <si>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</si>
  <si>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</si>
  <si>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</si>
  <si>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</si>
  <si>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</si>
  <si>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</si>
  <si>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</si>
  <si>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</si>
  <si>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</si>
  <si>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</si>
  <si>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</si>
  <si>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</si>
  <si>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</si>
  <si>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</si>
  <si>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</si>
  <si>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</si>
  <si>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</si>
  <si>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</si>
  <si>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</si>
  <si>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</si>
  <si>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</si>
  <si>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</si>
  <si>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</si>
  <si>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</si>
  <si>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</si>
  <si>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</si>
  <si>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</si>
  <si>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</si>
  <si>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</si>
  <si>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</si>
  <si>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</si>
  <si>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</si>
  <si>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</si>
  <si>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</si>
  <si>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</si>
  <si>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</si>
  <si>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</si>
  <si>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</si>
  <si>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</si>
  <si>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</si>
  <si>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</si>
  <si>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</si>
  <si>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</si>
  <si>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</si>
  <si>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</si>
  <si>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</si>
  <si>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</si>
  <si>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</si>
  <si>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</si>
  <si>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</si>
  <si>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</si>
  <si>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</si>
  <si>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</si>
  <si>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</si>
  <si>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</si>
  <si>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</si>
  <si>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</si>
  <si>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</si>
  <si>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</si>
  <si>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</si>
  <si>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</si>
  <si>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</si>
  <si>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</si>
  <si>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</si>
  <si>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</si>
  <si>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</si>
  <si>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</si>
  <si>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</si>
  <si>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</si>
  <si>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</si>
  <si>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</si>
  <si>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</si>
  <si>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</si>
  <si>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</si>
  <si>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</si>
  <si>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</si>
  <si>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</si>
  <si>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</si>
  <si>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</si>
  <si>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</si>
  <si>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</si>
  <si>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</si>
  <si>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</si>
  <si>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</si>
  <si>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</si>
  <si>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</si>
  <si>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</si>
  <si>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</si>
  <si>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</si>
  <si>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</si>
  <si>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</si>
  <si>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</si>
  <si>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</si>
  <si>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</si>
  <si>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</si>
  <si>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</si>
  <si>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</si>
  <si>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</si>
  <si>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</si>
  <si>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</si>
  <si>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</si>
  <si>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</si>
  <si>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</si>
  <si>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</si>
  <si>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</si>
  <si>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</si>
  <si>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</si>
  <si>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</si>
  <si>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</si>
  <si>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</si>
  <si>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</si>
  <si>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</si>
  <si>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</si>
  <si>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</si>
  <si>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</si>
  <si>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</si>
  <si>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</si>
  <si>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</si>
  <si>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</si>
  <si>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</si>
  <si>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</si>
  <si>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</si>
  <si>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</si>
  <si>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</si>
  <si>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</si>
  <si>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</si>
  <si>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</si>
  <si>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</si>
  <si>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</si>
  <si>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</si>
  <si>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</si>
  <si>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</si>
  <si>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</si>
  <si>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</si>
  <si>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</si>
  <si>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</si>
  <si>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</si>
  <si>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</si>
  <si>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</si>
  <si>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</si>
  <si>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</si>
  <si>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</si>
  <si>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</si>
  <si>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</si>
  <si>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</si>
  <si>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</si>
  <si>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</si>
  <si>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</si>
  <si>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</si>
  <si>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</si>
  <si>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</si>
  <si>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</si>
  <si>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</si>
  <si>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</si>
  <si>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</si>
  <si>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</si>
  <si>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</si>
  <si>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</si>
  <si>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</si>
  <si>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</si>
  <si>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</si>
  <si>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</si>
  <si>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</si>
  <si>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</si>
  <si>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</si>
  <si>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</si>
  <si>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</si>
  <si>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</si>
  <si>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</si>
  <si>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</si>
  <si>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</si>
  <si>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</si>
  <si>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</si>
  <si>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</si>
  <si>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</si>
  <si>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</si>
  <si>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</si>
  <si>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</si>
  <si>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</si>
  <si>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</si>
  <si>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</si>
  <si>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</si>
  <si>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</si>
  <si>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</si>
  <si>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</si>
  <si>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</si>
  <si>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</si>
  <si>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</si>
  <si>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</si>
  <si>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</si>
  <si>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</si>
  <si>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</si>
  <si>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</si>
  <si>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</si>
  <si>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</si>
  <si>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</si>
  <si>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</si>
  <si>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</si>
  <si>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</si>
  <si>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</si>
  <si>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</si>
  <si>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</si>
  <si>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</si>
  <si>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</si>
  <si>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</si>
  <si>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</si>
  <si>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</si>
  <si>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</si>
  <si>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</si>
  <si>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</si>
  <si>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</si>
  <si>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</si>
  <si>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</si>
  <si>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</si>
  <si>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</si>
  <si>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</si>
  <si>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</si>
  <si>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</si>
  <si>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</si>
  <si>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</si>
  <si>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</si>
  <si>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</si>
  <si>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</si>
  <si>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</si>
  <si>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</si>
  <si>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</si>
  <si>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</si>
  <si>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</si>
  <si>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</si>
  <si>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</si>
  <si>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</si>
  <si>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</si>
  <si>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</si>
  <si>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</si>
  <si>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</si>
  <si>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</si>
  <si>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</si>
  <si>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</si>
  <si>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</si>
  <si>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</si>
  <si>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</si>
  <si>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</si>
  <si>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</si>
  <si>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</si>
  <si>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</si>
  <si>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</si>
  <si>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</si>
  <si>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</si>
  <si>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</si>
  <si>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</si>
  <si>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</si>
  <si>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</si>
  <si>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</si>
  <si>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</si>
  <si>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</si>
  <si>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</si>
  <si>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</si>
  <si>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</si>
  <si>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</si>
  <si>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</si>
  <si>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</si>
  <si>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</si>
  <si>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</si>
  <si>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</si>
  <si>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</si>
  <si>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</si>
  <si>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</si>
  <si>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</si>
  <si>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</si>
  <si>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</si>
  <si>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</si>
  <si>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</si>
  <si>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</si>
  <si>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</si>
  <si>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</si>
  <si>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</si>
  <si>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</si>
  <si>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</si>
  <si>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</si>
  <si>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</si>
  <si>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</si>
  <si>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</si>
  <si>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</si>
  <si>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</si>
  <si>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</si>
  <si>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</si>
  <si>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</si>
  <si>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</si>
  <si>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</si>
  <si>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</si>
  <si>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</si>
  <si>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</si>
  <si>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</si>
  <si>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</si>
  <si>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</si>
  <si>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</si>
  <si>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</si>
  <si>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</si>
  <si>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</si>
  <si>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</si>
  <si>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</si>
  <si>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</si>
  <si>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</si>
  <si>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</si>
  <si>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</si>
  <si>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</si>
  <si>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</si>
  <si>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</si>
  <si>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</si>
  <si>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</si>
  <si>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</si>
  <si>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</si>
  <si>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</si>
  <si>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</si>
  <si>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</si>
  <si>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</si>
  <si>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</si>
  <si>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</si>
  <si>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</si>
  <si>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</si>
  <si>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</si>
  <si>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</si>
  <si>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</si>
  <si>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</si>
  <si>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</si>
  <si>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</si>
  <si>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</si>
  <si>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</si>
  <si>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</si>
  <si>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</si>
  <si>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</si>
  <si>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</si>
  <si>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</si>
  <si>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</si>
  <si>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</si>
  <si>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</si>
  <si>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</si>
  <si>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</si>
  <si>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</si>
  <si>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</si>
  <si>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</si>
  <si>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</si>
  <si>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</si>
  <si>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</si>
  <si>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</si>
  <si>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</si>
  <si>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</si>
  <si>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</si>
  <si>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</si>
  <si>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</si>
  <si>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</si>
  <si>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</si>
  <si>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</si>
  <si>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</si>
  <si>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</si>
  <si>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</si>
  <si>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</si>
  <si>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</si>
  <si>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</si>
  <si>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</si>
  <si>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</si>
  <si>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</si>
  <si>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</si>
  <si>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</si>
  <si>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</si>
  <si>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</si>
  <si>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</si>
  <si>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</si>
  <si>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</si>
  <si>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</si>
  <si>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</si>
  <si>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</si>
  <si>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</si>
  <si>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</si>
  <si>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</si>
  <si>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</si>
  <si>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</si>
  <si>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</si>
  <si>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</si>
  <si>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</si>
  <si>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</si>
  <si>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</si>
  <si>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</si>
  <si>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</si>
  <si>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</si>
  <si>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</si>
  <si>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</si>
  <si>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</si>
  <si>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</si>
  <si>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</si>
  <si>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</si>
  <si>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</si>
  <si>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</si>
  <si>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</si>
  <si>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</si>
  <si>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</si>
  <si>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</si>
  <si>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</si>
  <si>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</si>
  <si>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</si>
  <si>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</si>
  <si>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</si>
  <si>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</si>
  <si>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</si>
  <si>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</si>
  <si>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</si>
  <si>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</si>
  <si>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</si>
  <si>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</si>
  <si>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</si>
  <si>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</si>
  <si>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</si>
  <si>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</si>
  <si>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</si>
  <si>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</si>
  <si>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</si>
  <si>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</si>
  <si>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</si>
  <si>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</si>
  <si>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</si>
  <si>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</si>
  <si>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</si>
  <si>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</si>
  <si>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</si>
  <si>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</si>
  <si>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</si>
  <si>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</si>
  <si>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</si>
  <si>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</si>
  <si>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</si>
  <si>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</si>
  <si>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</si>
  <si>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</si>
  <si>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</si>
  <si>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</si>
  <si>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</si>
  <si>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</si>
  <si>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</si>
  <si>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</si>
  <si>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</si>
  <si>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</si>
  <si>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</si>
  <si>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</si>
  <si>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</si>
  <si>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</si>
  <si>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</si>
  <si>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</si>
  <si>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</si>
  <si>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</si>
  <si>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</si>
  <si>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</si>
  <si>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</si>
  <si>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</si>
  <si>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</si>
  <si>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</si>
  <si>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</si>
  <si>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</si>
  <si>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</si>
  <si>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</si>
  <si>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</si>
  <si>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</si>
  <si>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</si>
  <si>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</si>
  <si>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</si>
  <si>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</si>
  <si>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</si>
  <si>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</si>
  <si>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</si>
  <si>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</si>
  <si>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</si>
  <si>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</si>
  <si>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</si>
  <si>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</si>
  <si>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</si>
  <si>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</si>
  <si>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</si>
  <si>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</si>
  <si>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</si>
  <si>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</si>
  <si>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</si>
  <si>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</si>
  <si>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</si>
  <si>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</si>
  <si>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</si>
  <si>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</si>
  <si>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</si>
  <si>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</si>
  <si>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</si>
  <si>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</si>
  <si>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</si>
  <si>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</si>
  <si>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</si>
  <si>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</si>
  <si>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</si>
  <si>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</si>
  <si>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</si>
  <si>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</si>
  <si>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</si>
  <si>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</si>
  <si>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</si>
  <si>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</si>
  <si>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</si>
  <si>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</si>
  <si>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</si>
  <si>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</si>
  <si>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</si>
  <si>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</si>
  <si>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</si>
  <si>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</si>
  <si>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</si>
  <si>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</si>
  <si>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</si>
  <si>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</si>
  <si>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</si>
  <si>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</si>
  <si>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</si>
  <si>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</si>
  <si>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</si>
  <si>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</si>
  <si>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</si>
  <si>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</si>
  <si>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</si>
  <si>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</si>
  <si>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</si>
  <si>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</si>
  <si>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</si>
  <si>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</si>
  <si>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</si>
  <si>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</si>
  <si>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</si>
  <si>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</si>
  <si>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</si>
  <si>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</si>
  <si>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</si>
  <si>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</si>
  <si>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</si>
  <si>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</si>
  <si>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</si>
  <si>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</si>
  <si>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</si>
  <si>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</si>
  <si>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</si>
  <si>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</si>
  <si>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</si>
  <si>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</si>
  <si>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</si>
  <si>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</si>
  <si>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</si>
  <si>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</si>
  <si>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</si>
  <si>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</si>
  <si>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</si>
  <si>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</si>
  <si>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</si>
  <si>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</si>
  <si>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</si>
  <si>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</si>
  <si>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</si>
  <si>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</si>
  <si>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</si>
  <si>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</si>
  <si>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</si>
  <si>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</si>
  <si>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</si>
  <si>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</si>
  <si>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</si>
  <si>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</si>
  <si>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</si>
  <si>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</si>
  <si>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</si>
  <si>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</si>
  <si>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</si>
  <si>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</si>
  <si>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</si>
  <si>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</si>
  <si>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</si>
  <si>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</si>
  <si>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</si>
  <si>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</si>
  <si>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</si>
  <si>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</si>
  <si>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</si>
  <si>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</si>
  <si>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</si>
  <si>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</si>
  <si>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</si>
  <si>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</si>
  <si>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</si>
  <si>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</si>
  <si>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</si>
  <si>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</si>
  <si>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</si>
  <si>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</si>
  <si>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</si>
  <si>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</si>
  <si>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</si>
  <si>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</si>
  <si>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</si>
  <si>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</si>
  <si>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</si>
  <si>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</si>
  <si>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</si>
  <si>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</si>
  <si>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</si>
  <si>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</si>
  <si>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</si>
  <si>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</si>
  <si>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</si>
  <si>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</si>
  <si>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</si>
  <si>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</si>
  <si>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</si>
  <si>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</si>
  <si>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</si>
  <si>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</si>
  <si>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</si>
  <si>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</si>
  <si>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</si>
  <si>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</si>
  <si>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</si>
  <si>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</si>
  <si>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</si>
  <si>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</si>
  <si>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</si>
  <si>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</si>
  <si>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</si>
  <si>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</si>
  <si>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</si>
  <si>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</si>
  <si>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</si>
  <si>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</si>
  <si>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</si>
  <si>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</si>
  <si>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</si>
  <si>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</si>
  <si>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</si>
  <si>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</si>
  <si>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</si>
  <si>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</si>
  <si>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</si>
  <si>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</si>
  <si>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</si>
  <si>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</si>
  <si>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</si>
  <si>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</si>
  <si>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</si>
  <si>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</si>
  <si>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</si>
  <si>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</si>
  <si>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</si>
  <si>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</si>
  <si>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</si>
  <si>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</si>
  <si>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</si>
  <si>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</si>
  <si>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</si>
  <si>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</si>
  <si>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</si>
  <si>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</si>
  <si>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</si>
  <si>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</si>
  <si>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</si>
  <si>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</si>
  <si>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</si>
  <si>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</si>
  <si>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</si>
  <si>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</si>
  <si>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</si>
  <si>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</si>
  <si>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</si>
  <si>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</si>
  <si>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</si>
  <si>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</si>
  <si>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</si>
  <si>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</si>
  <si>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</si>
  <si>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</si>
  <si>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</si>
  <si>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</si>
  <si>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</si>
  <si>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</si>
  <si>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</si>
  <si>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</si>
  <si>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</si>
  <si>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</si>
  <si>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</si>
  <si>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</si>
  <si>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</si>
  <si>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</si>
  <si>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</si>
  <si>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</si>
  <si>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</si>
  <si>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</si>
  <si>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</si>
  <si>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</si>
  <si>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</si>
  <si>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</si>
  <si>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</si>
  <si>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</si>
  <si>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</si>
  <si>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</si>
  <si>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</si>
  <si>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</si>
  <si>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</si>
  <si>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</si>
  <si>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</si>
  <si>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</si>
  <si>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</si>
  <si>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</si>
  <si>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</si>
  <si>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</si>
  <si>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</si>
  <si>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</si>
  <si>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</si>
  <si>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</si>
  <si>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</si>
  <si>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</si>
  <si>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</si>
  <si>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</si>
  <si>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</si>
  <si>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</si>
  <si>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</si>
  <si>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</si>
  <si>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</si>
  <si>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</si>
  <si>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</si>
  <si>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</si>
  <si>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</si>
  <si>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</si>
  <si>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</si>
  <si>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</si>
  <si>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</si>
  <si>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</si>
  <si>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</si>
  <si>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</si>
  <si>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</si>
  <si>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</si>
  <si>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</si>
  <si>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</si>
  <si>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</si>
  <si>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</si>
  <si>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</si>
  <si>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</si>
  <si>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</si>
  <si>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</si>
  <si>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</si>
  <si>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</si>
  <si>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</si>
  <si>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</si>
  <si>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</si>
  <si>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</si>
  <si>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</si>
  <si>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</si>
  <si>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</si>
  <si>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</si>
  <si>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</si>
  <si>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</si>
  <si>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</si>
  <si>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</si>
  <si>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</si>
  <si>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</si>
  <si>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</si>
  <si>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</si>
  <si>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</si>
  <si>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</si>
  <si>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</si>
  <si>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</si>
  <si>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</si>
  <si>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</si>
  <si>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</si>
  <si>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</si>
  <si>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</si>
  <si>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</si>
  <si>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</si>
  <si>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</si>
  <si>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</si>
  <si>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</si>
  <si>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</si>
  <si>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</si>
  <si>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</si>
  <si>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</si>
  <si>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</si>
  <si>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</si>
  <si>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</si>
  <si>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</si>
  <si>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</si>
  <si>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</si>
  <si>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</si>
  <si>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</si>
  <si>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</si>
  <si>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</si>
  <si>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</si>
  <si>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</si>
  <si>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</si>
  <si>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</si>
  <si>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</si>
  <si>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</si>
  <si>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</si>
  <si>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</si>
  <si>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</si>
  <si>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</si>
  <si>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</si>
  <si>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</si>
  <si>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</si>
  <si>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</si>
  <si>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</si>
  <si>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</si>
  <si>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</si>
  <si>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</si>
  <si>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</si>
  <si>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</si>
  <si>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</si>
  <si>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</si>
  <si>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</si>
  <si>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</si>
  <si>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</si>
  <si>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</si>
  <si>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</si>
  <si>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</si>
  <si>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</si>
  <si>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</si>
  <si>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</si>
  <si>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</si>
  <si>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</si>
  <si>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</si>
  <si>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</si>
  <si>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</si>
  <si>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</si>
  <si>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</si>
  <si>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</si>
  <si>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</si>
  <si>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</si>
  <si>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</si>
  <si>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</si>
  <si>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</si>
  <si>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</si>
  <si>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</si>
  <si>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</si>
  <si>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</si>
  <si>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</si>
  <si>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</si>
  <si>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</si>
  <si>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</si>
  <si>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</si>
  <si>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</si>
  <si>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</si>
  <si>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</si>
  <si>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</si>
  <si>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</si>
  <si>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</si>
  <si>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</si>
  <si>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</si>
  <si>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</si>
  <si>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</si>
  <si>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</si>
  <si>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</si>
  <si>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</si>
  <si>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</si>
  <si>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</si>
  <si>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</si>
  <si>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</si>
  <si>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</si>
  <si>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</si>
  <si>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</si>
  <si>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</si>
  <si>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</si>
  <si>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</si>
  <si>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</si>
  <si>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</si>
  <si>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</si>
  <si>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</si>
  <si>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</si>
  <si>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</si>
  <si>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</si>
  <si>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</si>
  <si>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</si>
  <si>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</si>
  <si>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</si>
  <si>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</si>
  <si>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</si>
  <si>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</si>
  <si>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</si>
  <si>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</si>
  <si>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</si>
  <si>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</si>
  <si>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</si>
  <si>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</si>
  <si>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</si>
  <si>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</si>
  <si>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</si>
  <si>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</si>
  <si>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</si>
  <si>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</si>
  <si>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</si>
  <si>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</si>
  <si>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</si>
  <si>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</si>
  <si>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</si>
  <si>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</si>
  <si>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</si>
  <si>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</si>
  <si>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</si>
  <si>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</si>
  <si>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</si>
  <si>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</si>
  <si>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</si>
  <si>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</si>
  <si>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</si>
  <si>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</si>
  <si>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</si>
  <si>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</si>
  <si>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</si>
  <si>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</si>
  <si>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</si>
  <si>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</si>
  <si>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</si>
  <si>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</si>
  <si>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</si>
  <si>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</si>
  <si>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</si>
  <si>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</si>
  <si>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</si>
  <si>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</si>
  <si>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</si>
  <si>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</si>
  <si>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</si>
  <si>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</si>
  <si>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</si>
  <si>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</si>
  <si>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</si>
  <si>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</si>
  <si>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</si>
  <si>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</si>
  <si>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</si>
  <si>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</si>
  <si>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</si>
  <si>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</si>
  <si>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</si>
  <si>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</si>
  <si>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</si>
  <si>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</si>
  <si>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</si>
  <si>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</si>
  <si>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</si>
  <si>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</si>
  <si>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</si>
  <si>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</si>
  <si>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</si>
  <si>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</si>
  <si>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</si>
  <si>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</si>
  <si>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</si>
  <si>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</si>
  <si>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</si>
  <si>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</si>
  <si>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</si>
  <si>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</si>
  <si>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</si>
  <si>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</si>
  <si>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</si>
  <si>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</si>
  <si>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</si>
  <si>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</si>
  <si>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</si>
  <si>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</si>
  <si>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</si>
  <si>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</si>
  <si>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</si>
  <si>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</si>
  <si>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</si>
  <si>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</si>
  <si>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</si>
  <si>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</si>
  <si>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</si>
  <si>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</si>
  <si>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</si>
  <si>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</si>
  <si>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</si>
  <si>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</si>
  <si>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</si>
  <si>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</si>
  <si>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</si>
  <si>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</si>
  <si>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</si>
  <si>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</si>
  <si>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</si>
  <si>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</si>
  <si>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</si>
  <si>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</si>
  <si>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</si>
  <si>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</si>
  <si>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</si>
  <si>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</si>
  <si>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</si>
  <si>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</si>
  <si>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</si>
  <si>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</si>
  <si>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</si>
  <si>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</si>
  <si>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</si>
  <si>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</si>
  <si>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</si>
  <si>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</si>
  <si>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</si>
  <si>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</si>
  <si>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</si>
  <si>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</si>
  <si>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</si>
  <si>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</si>
  <si>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</si>
  <si>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</si>
  <si>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</si>
  <si>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</si>
  <si>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</si>
  <si>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</si>
  <si>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</si>
  <si>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</si>
  <si>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</si>
  <si>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</si>
  <si>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</si>
  <si>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</si>
  <si>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</si>
  <si>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</si>
  <si>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</si>
  <si>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</si>
  <si>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</si>
  <si>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</si>
  <si>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</si>
  <si>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</si>
  <si>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</si>
  <si>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</si>
  <si>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</si>
  <si>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</si>
  <si>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</si>
  <si>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</si>
  <si>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</si>
  <si>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</si>
  <si>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</si>
  <si>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</si>
  <si>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</si>
  <si>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</si>
  <si>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</si>
  <si>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</si>
  <si>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</si>
  <si>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</si>
  <si>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</si>
  <si>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</si>
  <si>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</si>
  <si>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</si>
  <si>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</si>
  <si>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</si>
  <si>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</si>
  <si>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</si>
  <si>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</si>
  <si>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</si>
  <si>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</si>
  <si>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</si>
  <si>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</si>
  <si>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</si>
  <si>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</si>
  <si>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</si>
  <si>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</si>
  <si>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</si>
  <si>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</si>
  <si>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</si>
  <si>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</si>
  <si>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</si>
  <si>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</si>
  <si>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</si>
  <si>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</si>
  <si>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</si>
  <si>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</si>
  <si>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</si>
  <si>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</si>
  <si>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</si>
  <si>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</si>
  <si>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</si>
  <si>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</si>
  <si>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</si>
  <si>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</si>
  <si>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</si>
  <si>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</si>
  <si>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</si>
  <si>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</si>
  <si>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</si>
  <si>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</si>
  <si>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</si>
  <si>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</si>
  <si>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</si>
  <si>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</si>
  <si>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</si>
  <si>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</si>
  <si>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</si>
  <si>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</si>
  <si>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</si>
  <si>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</si>
  <si>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</si>
  <si>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</si>
  <si>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</si>
  <si>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</si>
  <si>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</si>
  <si>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</si>
  <si>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</si>
  <si>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</si>
  <si>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</si>
  <si>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</si>
  <si>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</si>
  <si>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</si>
  <si>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</si>
  <si>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</si>
  <si>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</si>
  <si>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</si>
  <si>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</si>
  <si>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</si>
  <si>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</si>
  <si>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</si>
  <si>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</si>
  <si>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</si>
  <si>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</si>
  <si>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</si>
  <si>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</si>
  <si>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</si>
  <si>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</si>
  <si>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</si>
  <si>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</si>
  <si>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</si>
  <si>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</si>
  <si>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</si>
  <si>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</si>
  <si>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</si>
  <si>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</si>
  <si>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</si>
  <si>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</si>
  <si>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</si>
  <si>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</si>
  <si>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</si>
  <si>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</si>
  <si>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</si>
  <si>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</si>
  <si>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</si>
  <si>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</si>
  <si>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</si>
  <si>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</si>
  <si>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</si>
  <si>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</si>
  <si>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</si>
  <si>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</si>
  <si>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</si>
  <si>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</si>
  <si>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</si>
  <si>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</si>
  <si>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</si>
  <si>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</si>
  <si>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</si>
  <si>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</si>
  <si>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</si>
  <si>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</si>
  <si>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</si>
  <si>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</si>
  <si>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</si>
  <si>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</si>
  <si>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</si>
  <si>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</si>
  <si>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</si>
  <si>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</si>
  <si>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</si>
  <si>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</si>
  <si>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</si>
  <si>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</si>
  <si>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</si>
  <si>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</si>
  <si>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</si>
  <si>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</si>
  <si>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</si>
  <si>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</si>
  <si>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</si>
  <si>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</si>
  <si>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</si>
  <si>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</si>
  <si>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</si>
  <si>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</si>
  <si>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</si>
  <si>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</si>
  <si>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</si>
  <si>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</si>
  <si>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</si>
  <si>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</si>
  <si>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</si>
  <si>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</si>
  <si>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</si>
  <si>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</si>
  <si>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</si>
  <si>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</si>
  <si>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</si>
  <si>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</si>
  <si>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</si>
  <si>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</si>
  <si>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</si>
  <si>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</si>
  <si>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</si>
  <si>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</si>
  <si>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</si>
  <si>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</si>
  <si>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</si>
  <si>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</si>
  <si>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</si>
  <si>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</si>
  <si>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</si>
  <si>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</si>
  <si>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</si>
  <si>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</si>
  <si>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</si>
  <si>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</si>
  <si>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</si>
  <si>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</si>
  <si>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</si>
  <si>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</si>
  <si>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</si>
  <si>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</si>
  <si>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</si>
  <si>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</si>
  <si>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</si>
  <si>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</si>
  <si>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</si>
  <si>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</si>
  <si>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</si>
  <si>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</si>
  <si>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</si>
  <si>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</si>
  <si>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</si>
  <si>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</si>
  <si>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</si>
  <si>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</si>
  <si>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</si>
  <si>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</si>
  <si>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</si>
  <si>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</si>
  <si>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</si>
  <si>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</si>
  <si>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</si>
  <si>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</si>
  <si>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</si>
  <si>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</si>
  <si>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</si>
  <si>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</si>
  <si>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</si>
  <si>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</si>
  <si>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</si>
  <si>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</si>
  <si>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</si>
  <si>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</si>
  <si>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</si>
  <si>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</si>
  <si>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</si>
  <si>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</si>
  <si>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</si>
  <si>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</si>
  <si>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</si>
  <si>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</si>
  <si>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</si>
  <si>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</si>
  <si>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</si>
  <si>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</si>
  <si>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</si>
  <si>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</si>
  <si>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</si>
  <si>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</si>
  <si>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</si>
  <si>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</si>
  <si>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</si>
  <si>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</si>
  <si>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</si>
  <si>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</si>
  <si>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</si>
  <si>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</si>
  <si>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</si>
  <si>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</si>
  <si>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</si>
  <si>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</si>
  <si>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</si>
  <si>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</si>
  <si>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</si>
  <si>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</si>
  <si>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</si>
  <si>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</si>
  <si>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</si>
  <si>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6/6</t>
    <phoneticPr fontId="239" type="noConversion"/>
  </si>
  <si>
    <t>4/22</t>
    <phoneticPr fontId="239" type="noConversion"/>
  </si>
  <si>
    <t>9/22</t>
    <phoneticPr fontId="239" type="noConversion"/>
  </si>
  <si>
    <t>15/22</t>
    <phoneticPr fontId="239" type="noConversion"/>
  </si>
  <si>
    <t>毛坯</t>
  </si>
  <si>
    <t>毛坯</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</si>
</sst>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6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估价对象为北京市房地产，为所有。根据《国有土地使用证》[]，估价对象（分摊）出让国有建设用地使用权面积为0平方米，建筑面积为100.28平方米。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估价对象为北京市房地产,属开发建设的，该项目尚在开发建设中。根据《国有土地使用证》[]，估价对象（分摊）出让国有建设用地使用权面积为0平方米，规划建筑面积为100.28平方米。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2002年10月4日</v>
      </c>
    </row>
    <row r="13" spans="1:2">
      <c r="A13" s="3546" t="s">
        <v>13</v>
      </c>
      <c r="B13" s="3547" t="str">
        <f>'预评函-1'!A18</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100.28</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5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2002年10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3441" t="s">
        <v>330</v>
      </c>
      <c r="C54" s="3431" t="s">
        <v>331</v>
      </c>
    </row>
    <row r="55" spans="1:4">
      <c r="A55" s="3652"/>
      <c r="B55" s="3441" t="s">
        <v>332</v>
      </c>
      <c r="C55" s="3431" t="s">
        <v>333</v>
      </c>
    </row>
    <row r="56" spans="1:4">
      <c r="A56" s="3652"/>
      <c r="B56" s="3441" t="s">
        <v>334</v>
      </c>
      <c r="C56" s="3431" t="s">
        <v>335</v>
      </c>
    </row>
    <row r="57" spans="1:4">
      <c r="A57" s="365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53" t="s">
        <v>340</v>
      </c>
      <c r="J2" s="3653"/>
      <c r="K2" s="3653"/>
      <c r="L2" s="3653"/>
      <c r="M2" s="3653"/>
      <c r="N2" s="3653"/>
      <c r="O2" s="3653"/>
      <c r="P2" s="3653"/>
      <c r="Q2" s="3653"/>
      <c r="R2" s="3653"/>
    </row>
    <row r="3" spans="1:18">
      <c r="A3" s="437" t="s">
        <v>341</v>
      </c>
      <c r="B3" s="3392">
        <f>项目基本情况!D3</f>
        <v>37533</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24.22</v>
      </c>
      <c r="D5" s="3394">
        <f>IF(ISERROR(ROUND(POWER(1+E5,A5-C5)*(POWER(1+E5,C5)-1)/(POWER(1+E5,A5)-1),3)),0,ROUND(POWER(1+E5,A5-C5)*(POWER(1+E5,C5)-1)/(POWER(1+E5,A5)-1),4))</f>
        <v>0.77459999999999996</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34.229999999999997</v>
      </c>
      <c r="D6" s="3394">
        <f>IF(ISERROR(ROUND(POWER(1+E6,A6-C6)*(POWER(1+E6,C6)-1)/(POWER(1+E6,A6)-1),3)),0,ROUND(POWER(1+E6,A6-C6)*(POWER(1+E6,C6)-1)/(POWER(1+E6,A6)-1),4))</f>
        <v>0.85980000000000001</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54.24</v>
      </c>
      <c r="D7" s="3394">
        <f>IF(ISERROR(ROUND(POWER(1+E7,A7-C7)*(POWER(1+E7,C7)-1)/(POWER(1+E7,A7)-1),3)),0,ROUND(POWER(1+E7,A7-C7)*(POWER(1+E7,C7)-1)/(POWER(1+E7,A7)-1),4))</f>
        <v>0.94130000000000003</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workbookViewId="0">
      <selection activeCell="I38" sqref="I38"/>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58" t="str">
        <f>IF(B10="北京市","北京市",C10)&amp;F10&amp;IF(结果表!G1="在建","出让国有建设用地使用权及在建建筑物",IF(结果表!G1="土地","出让国有建设用地使用权",))&amp;B9&amp;"预评估"</f>
        <v>北京市预评估</v>
      </c>
      <c r="C1" s="3659"/>
      <c r="D1" s="3659"/>
      <c r="E1" s="3659"/>
      <c r="F1" s="3659"/>
      <c r="G1" s="3659"/>
      <c r="H1" s="3659"/>
      <c r="I1" s="3660"/>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37533</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673" t="s">
        <v>434</v>
      </c>
      <c r="E8" s="3290"/>
      <c r="F8" s="3291"/>
      <c r="G8" s="3042"/>
      <c r="H8" s="3042"/>
      <c r="I8" s="3042">
        <f>(I7-B3)/365</f>
        <v>55.7</v>
      </c>
      <c r="J8" s="2903"/>
      <c r="K8" s="3364"/>
      <c r="L8" s="3362"/>
      <c r="M8" s="3362"/>
      <c r="N8" s="2903"/>
      <c r="O8" s="2726"/>
      <c r="P8" s="2903"/>
      <c r="Q8" s="2903"/>
      <c r="R8" s="2903"/>
    </row>
    <row r="9" spans="1:30">
      <c r="A9" s="3292" t="s">
        <v>435</v>
      </c>
      <c r="B9" s="3293"/>
      <c r="C9" s="3294"/>
      <c r="D9" s="3674"/>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63100</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61"/>
      <c r="C16" s="3662"/>
      <c r="D16" s="3663"/>
      <c r="E16" s="3316" t="s">
        <v>454</v>
      </c>
      <c r="F16" s="3664"/>
      <c r="G16" s="3665"/>
      <c r="H16" s="3665"/>
      <c r="I16" s="3666"/>
      <c r="J16" s="2903"/>
      <c r="K16" s="3370"/>
      <c r="L16" s="2726"/>
      <c r="M16" s="2726"/>
      <c r="N16" s="2903"/>
      <c r="O16" s="2726"/>
      <c r="P16" s="2903"/>
      <c r="Q16" s="2903"/>
      <c r="R16" s="2903"/>
    </row>
    <row r="17" spans="1:28">
      <c r="A17" s="2266" t="s">
        <v>455</v>
      </c>
      <c r="B17" s="2255" t="s">
        <v>456</v>
      </c>
      <c r="C17" s="1326">
        <f>'数据-汇总表'!E3</f>
        <v>100.28</v>
      </c>
      <c r="D17" s="2308" t="s">
        <v>457</v>
      </c>
      <c r="E17" s="3667" t="s">
        <v>458</v>
      </c>
      <c r="F17" s="3668"/>
      <c r="G17" s="3668"/>
      <c r="H17" s="3668"/>
      <c r="I17" s="3669"/>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70" t="s">
        <v>461</v>
      </c>
      <c r="F18" s="3671"/>
      <c r="G18" s="3671"/>
      <c r="H18" s="3671"/>
      <c r="I18" s="3672"/>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7" t="s">
        <v>467</v>
      </c>
      <c r="C20" s="3678"/>
      <c r="D20" s="3679" t="s">
        <v>468</v>
      </c>
      <c r="E20" s="3680"/>
      <c r="F20" s="3325" t="s">
        <v>469</v>
      </c>
      <c r="G20" s="3042"/>
      <c r="H20" s="3042"/>
      <c r="I20" s="3042"/>
      <c r="J20" s="2903"/>
      <c r="K20" s="3675"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5"/>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5"/>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54"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54"/>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54"/>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55"/>
      <c r="B30" s="2255" t="s">
        <v>485</v>
      </c>
      <c r="C30" s="3681"/>
      <c r="D30" s="3682"/>
      <c r="E30" s="3042"/>
      <c r="F30" s="3042"/>
      <c r="G30" s="3042"/>
      <c r="H30" s="3042"/>
      <c r="I30" s="3042"/>
      <c r="J30" s="2903"/>
      <c r="K30" s="3363"/>
      <c r="L30" s="3362"/>
      <c r="M30" s="3362"/>
      <c r="N30" s="2903"/>
      <c r="O30" s="2726"/>
      <c r="P30" s="2903"/>
      <c r="Q30" s="2903"/>
      <c r="R30" s="2903"/>
      <c r="S30" s="2903"/>
      <c r="T30" s="2903"/>
      <c r="U30" s="2903"/>
      <c r="V30" s="2903"/>
    </row>
    <row r="31" spans="1:28">
      <c r="A31" s="3656"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57"/>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57"/>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6" t="s">
        <v>495</v>
      </c>
      <c r="T34" s="2296" t="str">
        <f>NUMBERSTRING(7-K34,1)&amp;"通"</f>
        <v>七通</v>
      </c>
      <c r="U34" s="2903"/>
      <c r="V34" s="2903"/>
    </row>
    <row r="35" spans="1:30">
      <c r="A35" s="3350"/>
      <c r="B35" s="3676" t="s">
        <v>496</v>
      </c>
      <c r="C35" s="3676"/>
      <c r="D35" s="3676"/>
      <c r="E35" s="3676"/>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6"/>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100.28</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100.28</v>
      </c>
      <c r="H5" s="3197">
        <f t="shared" ref="H5:AT5" si="0">SUM(H13:H656)</f>
        <v>100.28</v>
      </c>
      <c r="I5" s="3197">
        <f t="shared" si="0"/>
        <v>100.28</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100.28</v>
      </c>
      <c r="BA5" s="3250">
        <f t="shared" si="1"/>
        <v>100.28</v>
      </c>
      <c r="BB5" s="3250">
        <f t="shared" si="1"/>
        <v>100.28</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100.28</v>
      </c>
      <c r="H13" s="3200">
        <f>SUMIF(I$12:AB$12,"总值",I13:AB13)</f>
        <v>100.28</v>
      </c>
      <c r="I13" s="3225">
        <v>100.28</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100.28</v>
      </c>
      <c r="BA13" s="3197">
        <f>SUM(BB13:BK13)</f>
        <v>100.28</v>
      </c>
      <c r="BB13" s="3197">
        <f>IF($D13="是",I13-J13,0)</f>
        <v>100.28</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692" t="s">
        <v>558</v>
      </c>
      <c r="B2" s="3692"/>
      <c r="C2" s="3692"/>
      <c r="D2" s="2533" t="s">
        <v>559</v>
      </c>
      <c r="E2" s="3125" t="s">
        <v>560</v>
      </c>
      <c r="F2" s="2979"/>
      <c r="G2" s="3126"/>
      <c r="H2" s="3127"/>
      <c r="I2" s="2815" t="s">
        <v>561</v>
      </c>
      <c r="J2" s="2979"/>
      <c r="K2" s="2979"/>
      <c r="L2" s="2979"/>
      <c r="M2" s="2979"/>
      <c r="N2" s="1553"/>
      <c r="O2" s="2979"/>
      <c r="P2" s="2979"/>
    </row>
    <row r="3" spans="1:16" ht="15">
      <c r="A3" s="3693" t="s">
        <v>562</v>
      </c>
      <c r="B3" s="3693"/>
      <c r="C3" s="3693"/>
      <c r="D3" s="3128">
        <f>'数据-基础表'!AY6</f>
        <v>0</v>
      </c>
      <c r="E3" s="3128">
        <f>'数据-基础表'!AZ5</f>
        <v>100.28</v>
      </c>
      <c r="F3" s="2979"/>
      <c r="G3" s="3129"/>
      <c r="H3" s="2623" t="s">
        <v>563</v>
      </c>
      <c r="I3" s="1905" t="e">
        <f>ROUND('数据-基础表'!B3/'数据-基础表'!A3,2)</f>
        <v>#DIV/0!</v>
      </c>
      <c r="J3" s="2979"/>
      <c r="K3" s="2979"/>
      <c r="L3" s="2979"/>
      <c r="M3" s="2979"/>
      <c r="N3" s="1553"/>
      <c r="O3" s="2979"/>
      <c r="P3" s="2979"/>
    </row>
    <row r="4" spans="1:16" ht="15">
      <c r="A4" s="3694"/>
      <c r="B4" s="3695"/>
      <c r="C4" s="369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697" t="s">
        <v>567</v>
      </c>
      <c r="C5" s="3697"/>
      <c r="D5" s="2623">
        <f>ROUND($D$3*E5/$E$3,2)</f>
        <v>0</v>
      </c>
      <c r="E5" s="3133">
        <f>SUMIF('数据-基础表'!$11:$11,"住宅",'数据-基础表'!$5:$5)</f>
        <v>100.28</v>
      </c>
      <c r="F5" s="2979"/>
      <c r="G5" s="3129"/>
      <c r="H5" s="2623" t="s">
        <v>563</v>
      </c>
      <c r="I5" s="1905" t="e">
        <f>ROUND(E31/D31,2)</f>
        <v>#DIV/0!</v>
      </c>
      <c r="J5" s="2979"/>
      <c r="K5" s="2979"/>
      <c r="L5" s="2979"/>
      <c r="M5" s="2979"/>
      <c r="N5" s="2979"/>
      <c r="O5" s="2979"/>
      <c r="P5" s="2979"/>
    </row>
    <row r="6" spans="1:16">
      <c r="A6" s="3134"/>
      <c r="B6" s="3697" t="s">
        <v>568</v>
      </c>
      <c r="C6" s="3697"/>
      <c r="D6" s="2623">
        <f>ROUND($D$3*E6/$E$3,2)</f>
        <v>0</v>
      </c>
      <c r="E6" s="3133">
        <f>E3-E5</f>
        <v>0</v>
      </c>
      <c r="F6" s="2979"/>
      <c r="G6" s="3135" t="s">
        <v>569</v>
      </c>
      <c r="H6" s="3136" t="s">
        <v>565</v>
      </c>
      <c r="I6" s="3175" t="e">
        <f>ROUND(F31/D31,2)</f>
        <v>#DIV/0!</v>
      </c>
      <c r="J6" s="2979"/>
      <c r="K6" s="2979"/>
      <c r="L6" s="2979"/>
      <c r="M6" s="2979"/>
      <c r="N6" s="2979"/>
      <c r="O6" s="2979"/>
      <c r="P6" s="2979"/>
    </row>
    <row r="7" spans="1:16" ht="15">
      <c r="A7" s="3683"/>
      <c r="B7" s="3684"/>
      <c r="C7" s="368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100.28</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100.28</v>
      </c>
      <c r="F16" s="2979"/>
      <c r="G16" s="2979"/>
      <c r="H16" s="3143" t="s">
        <v>583</v>
      </c>
      <c r="I16" s="3177"/>
      <c r="J16" s="2673"/>
      <c r="K16" s="3686" t="s">
        <v>583</v>
      </c>
      <c r="L16" s="3687"/>
      <c r="M16" s="3687"/>
      <c r="N16" s="3687"/>
      <c r="O16" s="3687"/>
      <c r="P16" s="3688"/>
    </row>
    <row r="17" spans="1:19" ht="15">
      <c r="A17" s="3094" t="s">
        <v>584</v>
      </c>
      <c r="B17" s="3144" t="s">
        <v>585</v>
      </c>
      <c r="C17" s="2647" t="s">
        <v>586</v>
      </c>
      <c r="D17" s="3145" t="s">
        <v>559</v>
      </c>
      <c r="E17" s="3146" t="s">
        <v>560</v>
      </c>
      <c r="F17" s="3147"/>
      <c r="G17" s="3148"/>
      <c r="H17" s="3149" t="s">
        <v>587</v>
      </c>
      <c r="I17" s="3178" t="s">
        <v>588</v>
      </c>
      <c r="J17" s="2673"/>
      <c r="K17" s="3689" t="s">
        <v>589</v>
      </c>
      <c r="L17" s="3690"/>
      <c r="M17" s="3691"/>
      <c r="N17" s="3689" t="s">
        <v>590</v>
      </c>
      <c r="O17" s="3690"/>
      <c r="P17" s="369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100.28</v>
      </c>
      <c r="F19" s="3158">
        <f>'数据-基础表'!I13</f>
        <v>100.28</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100.28</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100.28</v>
      </c>
      <c r="F27" s="3163">
        <f>IF(SUM(F19:F26)=E8,SUM(F19:F26),"地上面积有误")</f>
        <v>100.28</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100.28</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100.28</v>
      </c>
      <c r="F31" s="3171">
        <f>F27+F30</f>
        <v>100.28</v>
      </c>
      <c r="G31" s="3172">
        <f>G27+G30</f>
        <v>0</v>
      </c>
      <c r="H31" s="2979"/>
      <c r="I31" s="2979"/>
      <c r="J31" s="2979"/>
      <c r="K31" s="2979"/>
      <c r="L31" s="2979"/>
      <c r="M31" s="2979"/>
      <c r="N31" s="2979"/>
      <c r="O31" s="2979"/>
      <c r="P31" s="2979"/>
    </row>
    <row r="32" spans="1:19">
      <c r="A32" s="3150"/>
      <c r="B32" s="3150" t="s">
        <v>605</v>
      </c>
      <c r="C32" s="3150"/>
      <c r="D32" s="3150"/>
      <c r="E32" s="3173">
        <f>SUMIF(C19:C26,"*住宅*",E19:E26)</f>
        <v>100.28</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18" activePane="bottomRight" state="frozen"/>
      <selection pane="topRight"/>
      <selection pane="bottomLeft"/>
      <selection pane="bottomRight" activeCell="B37" sqref="B37"/>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37533</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63100</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100.28</v>
      </c>
      <c r="L6" s="3051">
        <v>800</v>
      </c>
      <c r="M6" s="3052">
        <f t="shared" ref="M6:M14" si="0">ROUND(K6*L6/10000,0)</f>
        <v>8</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32.6907</v>
      </c>
      <c r="AP6" s="3121">
        <f>IF(C6="住宅",K6*L6,0)</f>
        <v>80224</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100.28</v>
      </c>
      <c r="L16" s="3060">
        <f>ROUND(M16*10000/SUM(K6:K14),0)</f>
        <v>798</v>
      </c>
      <c r="M16" s="3060">
        <f>SUM(M6:M14)</f>
        <v>8</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16045</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698" t="s">
        <v>715</v>
      </c>
      <c r="B1" s="3699"/>
      <c r="C1" s="3699"/>
      <c r="D1" s="3699"/>
      <c r="E1" s="3699"/>
      <c r="F1" s="3699"/>
      <c r="G1" s="369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100.28</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37533</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41.305300000000003</v>
      </c>
      <c r="C5" s="2870" t="e">
        <f ca="1">IF(B5=D14,结果表!H102,ROUND(B5*10000/$B$1,0))</f>
        <v>#REF!</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100.28</v>
      </c>
      <c r="C14" s="2881"/>
      <c r="D14" s="2881">
        <f ca="1">ROUND(E14*B14/10000,4)</f>
        <v>41.305300000000003</v>
      </c>
      <c r="E14" s="2881">
        <f ca="1">结果表!G20</f>
        <v>4119</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H27" sqref="H27"/>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00" t="str">
        <f>项目基本情况!S2</f>
        <v>北京市房地产</v>
      </c>
      <c r="B2" s="3701"/>
      <c r="C2" s="3701"/>
      <c r="D2" s="3701"/>
      <c r="E2" s="3701"/>
      <c r="F2" s="3701"/>
      <c r="G2" s="3701"/>
      <c r="H2" s="3701"/>
      <c r="I2" s="3702"/>
    </row>
    <row r="3" spans="1:12" ht="12.75">
      <c r="A3" s="3703" t="s">
        <v>772</v>
      </c>
      <c r="B3" s="3704"/>
      <c r="C3" s="3704"/>
      <c r="D3" s="3704"/>
      <c r="E3" s="3704"/>
      <c r="F3" s="3704"/>
      <c r="G3" s="3704"/>
      <c r="H3" s="3704"/>
      <c r="I3" s="3704"/>
    </row>
    <row r="4" spans="1:12" ht="14.25">
      <c r="A4" s="2605" t="s">
        <v>773</v>
      </c>
      <c r="B4" s="2606" t="s">
        <v>774</v>
      </c>
      <c r="C4" s="2607" t="s">
        <v>240</v>
      </c>
      <c r="D4" s="2607" t="s">
        <v>775</v>
      </c>
      <c r="E4" s="3705" t="s">
        <v>776</v>
      </c>
      <c r="F4" s="3706"/>
      <c r="G4" s="3706"/>
      <c r="H4" s="3706"/>
      <c r="I4" s="3707"/>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53" t="s">
        <v>777</v>
      </c>
      <c r="B5" s="3793">
        <v>25</v>
      </c>
      <c r="C5" s="3757"/>
      <c r="D5" s="3719"/>
      <c r="E5" s="2295" t="s">
        <v>778</v>
      </c>
      <c r="F5" s="2611"/>
      <c r="G5" s="2611"/>
      <c r="H5" s="2611"/>
      <c r="I5" s="2500"/>
    </row>
    <row r="6" spans="1:12" ht="12.75">
      <c r="A6" s="3753"/>
      <c r="B6" s="3793"/>
      <c r="C6" s="3758"/>
      <c r="D6" s="3719"/>
      <c r="E6" s="2295" t="s">
        <v>779</v>
      </c>
      <c r="F6" s="2611"/>
      <c r="G6" s="2611"/>
      <c r="H6" s="2611"/>
      <c r="I6" s="2500"/>
    </row>
    <row r="7" spans="1:12" ht="12.75">
      <c r="A7" s="3753"/>
      <c r="B7" s="3793"/>
      <c r="C7" s="3759"/>
      <c r="D7" s="3719"/>
      <c r="E7" s="2295" t="s">
        <v>780</v>
      </c>
      <c r="F7" s="2611"/>
      <c r="G7" s="2611"/>
      <c r="H7" s="2611"/>
      <c r="I7" s="2500"/>
    </row>
    <row r="8" spans="1:12" ht="12.75">
      <c r="A8" s="3753" t="s">
        <v>781</v>
      </c>
      <c r="B8" s="3793">
        <v>15</v>
      </c>
      <c r="C8" s="3757"/>
      <c r="D8" s="3719"/>
      <c r="E8" s="2295" t="s">
        <v>782</v>
      </c>
      <c r="F8" s="2611"/>
      <c r="G8" s="2611"/>
      <c r="H8" s="2611"/>
      <c r="I8" s="2500"/>
    </row>
    <row r="9" spans="1:12" ht="12.75">
      <c r="A9" s="3753"/>
      <c r="B9" s="3793"/>
      <c r="C9" s="3759"/>
      <c r="D9" s="3719"/>
      <c r="E9" s="2295" t="s">
        <v>783</v>
      </c>
      <c r="F9" s="2611"/>
      <c r="G9" s="2611"/>
      <c r="H9" s="2611"/>
      <c r="I9" s="2500"/>
    </row>
    <row r="10" spans="1:12" ht="12.75">
      <c r="A10" s="3753" t="s">
        <v>784</v>
      </c>
      <c r="B10" s="3793">
        <v>15</v>
      </c>
      <c r="C10" s="3757"/>
      <c r="D10" s="3719"/>
      <c r="E10" s="2295" t="s">
        <v>785</v>
      </c>
      <c r="F10" s="2611"/>
      <c r="G10" s="2611"/>
      <c r="H10" s="2611"/>
      <c r="I10" s="2500"/>
    </row>
    <row r="11" spans="1:12" ht="12.75">
      <c r="A11" s="3753"/>
      <c r="B11" s="3793"/>
      <c r="C11" s="3759"/>
      <c r="D11" s="3719"/>
      <c r="E11" s="2295" t="s">
        <v>786</v>
      </c>
      <c r="F11" s="2611"/>
      <c r="G11" s="2611"/>
      <c r="H11" s="2611"/>
      <c r="I11" s="2500"/>
    </row>
    <row r="12" spans="1:12" ht="12.75">
      <c r="A12" s="3753" t="s">
        <v>787</v>
      </c>
      <c r="B12" s="3793">
        <v>15</v>
      </c>
      <c r="C12" s="3757"/>
      <c r="D12" s="3719"/>
      <c r="E12" s="2295" t="s">
        <v>788</v>
      </c>
      <c r="F12" s="2611"/>
      <c r="G12" s="2611"/>
      <c r="H12" s="2611"/>
      <c r="I12" s="2500"/>
    </row>
    <row r="13" spans="1:12" ht="12.75">
      <c r="A13" s="3753"/>
      <c r="B13" s="3793"/>
      <c r="C13" s="3759"/>
      <c r="D13" s="3719"/>
      <c r="E13" s="2295" t="s">
        <v>789</v>
      </c>
      <c r="F13" s="2611"/>
      <c r="G13" s="2611"/>
      <c r="H13" s="2611"/>
      <c r="I13" s="2500"/>
    </row>
    <row r="14" spans="1:12" ht="12.75">
      <c r="A14" s="3753" t="s">
        <v>790</v>
      </c>
      <c r="B14" s="3793">
        <v>30</v>
      </c>
      <c r="C14" s="3757">
        <v>3</v>
      </c>
      <c r="D14" s="3719">
        <f>10-C14</f>
        <v>7</v>
      </c>
      <c r="E14" s="2295" t="s">
        <v>791</v>
      </c>
      <c r="F14" s="2611"/>
      <c r="G14" s="2611"/>
      <c r="H14" s="2611"/>
      <c r="I14" s="2500"/>
    </row>
    <row r="15" spans="1:12" ht="12.75">
      <c r="A15" s="3753"/>
      <c r="B15" s="3793"/>
      <c r="C15" s="3758"/>
      <c r="D15" s="3719"/>
      <c r="E15" s="2295" t="s">
        <v>792</v>
      </c>
      <c r="F15" s="2611"/>
      <c r="G15" s="2611"/>
      <c r="H15" s="2611"/>
      <c r="I15" s="2500"/>
    </row>
    <row r="16" spans="1:12" ht="12.75">
      <c r="A16" s="3753"/>
      <c r="B16" s="3793"/>
      <c r="C16" s="3759"/>
      <c r="D16" s="3719"/>
      <c r="E16" s="2295" t="s">
        <v>793</v>
      </c>
      <c r="F16" s="2611"/>
      <c r="G16" s="2611"/>
      <c r="H16" s="2611"/>
      <c r="I16" s="2500"/>
    </row>
    <row r="17" spans="1:36" ht="15">
      <c r="A17" s="2612" t="s">
        <v>794</v>
      </c>
      <c r="B17" s="2613"/>
      <c r="C17" s="2614">
        <f>C14</f>
        <v>3</v>
      </c>
      <c r="D17" s="2614">
        <f>D14</f>
        <v>7</v>
      </c>
      <c r="E17" s="1312"/>
      <c r="F17" s="1312"/>
      <c r="G17" s="1312"/>
      <c r="H17" s="1312"/>
      <c r="I17" s="1312"/>
      <c r="K17" s="2255"/>
      <c r="L17" s="2255" t="s">
        <v>795</v>
      </c>
      <c r="M17" s="2255" t="s">
        <v>796</v>
      </c>
    </row>
    <row r="18" spans="1:36" ht="31.9" customHeight="1">
      <c r="A18" s="2615" t="s">
        <v>797</v>
      </c>
      <c r="B18" s="2616"/>
      <c r="C18" s="2617">
        <f>ROUND(C17/SUM(C17:D17),2)</f>
        <v>0.3</v>
      </c>
      <c r="D18" s="2617">
        <f>1-C18</f>
        <v>0.7</v>
      </c>
      <c r="E18" s="3708" t="s">
        <v>798</v>
      </c>
      <c r="F18" s="3709"/>
      <c r="G18" s="3709"/>
      <c r="H18" s="3709"/>
      <c r="I18" s="3709"/>
      <c r="K18" s="2255" t="s">
        <v>456</v>
      </c>
      <c r="L18" s="2255">
        <f>IF(C1="",'数据-汇总表'!E3,SUMIF(项目类型,C1,'数据-汇总表'!E17:E26)+SUMIF(项目类型,C1,'数据-汇总表'!I17:I26))</f>
        <v>100.28</v>
      </c>
      <c r="M18" s="2255">
        <f>IF(C1="",'数据-汇总表'!E3,SUMIF(项目类型,C1,'数据-汇总表'!E17:E26))</f>
        <v>100.28</v>
      </c>
    </row>
    <row r="19" spans="1:36" ht="15">
      <c r="A19" s="1611" t="s">
        <v>799</v>
      </c>
      <c r="B19" s="2618" t="s">
        <v>800</v>
      </c>
      <c r="C19" s="2619">
        <f ca="1">SUMIF(INDIRECT("'"&amp;C4&amp;"'"&amp;"!A:A"),结果表!B19,INDIRECT("'"&amp;C4&amp;"'"&amp;"!B:B"))</f>
        <v>32.6907</v>
      </c>
      <c r="D19" s="1727">
        <f ca="1">SUMIF(INDIRECT("'"&amp;D4&amp;"'"&amp;"!A:A"),结果表!B19,INDIRECT("'"&amp;D4&amp;"'"&amp;"!B:B"))</f>
        <v>44.995600000000003</v>
      </c>
      <c r="E19" s="1611" t="s">
        <v>801</v>
      </c>
      <c r="F19" s="2618" t="s">
        <v>800</v>
      </c>
      <c r="G19" s="2620">
        <f ca="1">ROUND(C19*$C$18+D19*$D$18,4)</f>
        <v>41.304099999999998</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3260</v>
      </c>
      <c r="D20" s="2004">
        <f ca="1">SUMIF(INDIRECT("'"&amp;D4&amp;"'"&amp;"!A:A"),结果表!B20,INDIRECT("'"&amp;D4&amp;"'"&amp;"!B:B"))</f>
        <v>4487</v>
      </c>
      <c r="E20" s="2622"/>
      <c r="F20" s="2623" t="s">
        <v>803</v>
      </c>
      <c r="G20" s="2624">
        <f ca="1">ROUND(C20*$C$18+D20*$D$18,0)</f>
        <v>4119</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0.37640368667541546</v>
      </c>
      <c r="E22" s="1312"/>
      <c r="F22" s="1312"/>
      <c r="G22" s="1312"/>
      <c r="H22" s="1312"/>
      <c r="I22" s="1312"/>
    </row>
    <row r="23" spans="1:36" ht="12.75">
      <c r="A23" s="2398"/>
      <c r="B23" s="2398"/>
      <c r="C23" s="2398"/>
      <c r="D23" s="2398"/>
      <c r="E23" s="1312"/>
      <c r="F23" s="1312"/>
      <c r="G23" s="1312"/>
      <c r="H23" s="1312"/>
      <c r="I23" s="1312"/>
    </row>
    <row r="24" spans="1:36" ht="14.25">
      <c r="A24" s="3786" t="s">
        <v>807</v>
      </c>
      <c r="B24" s="2618" t="s">
        <v>800</v>
      </c>
      <c r="C24" s="2634">
        <f>IF(B30=0,0,D30)</f>
        <v>0</v>
      </c>
      <c r="D24" s="2635"/>
      <c r="E24" s="1312"/>
      <c r="F24" s="1312"/>
      <c r="G24" s="1312">
        <f ca="1">系统读取表!D14</f>
        <v>41.305300000000003</v>
      </c>
      <c r="H24" s="1312"/>
      <c r="I24" s="1312"/>
    </row>
    <row r="25" spans="1:36" ht="14.25">
      <c r="A25" s="3787"/>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100.28</v>
      </c>
      <c r="C27" s="2639">
        <v>15.6</v>
      </c>
      <c r="D27" s="2640">
        <f>ROUND(C27*B27,0)</f>
        <v>1564</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4103</v>
      </c>
      <c r="D30" s="2642">
        <f ca="1">ROUND((G19*10000-D27)/10000,4)</f>
        <v>41.1477</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4119</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88" t="s">
        <v>823</v>
      </c>
      <c r="B36" s="2666" t="s">
        <v>824</v>
      </c>
      <c r="C36" s="2667"/>
      <c r="D36" s="2668"/>
      <c r="E36" s="2669"/>
      <c r="F36" s="2670"/>
      <c r="G36" s="1312"/>
      <c r="H36" s="1312"/>
      <c r="I36" s="1312"/>
    </row>
    <row r="37" spans="1:15" ht="15">
      <c r="A37" s="3789"/>
      <c r="B37" s="2671" t="s">
        <v>825</v>
      </c>
      <c r="C37" s="2672"/>
      <c r="D37" s="2673"/>
      <c r="E37" s="2673"/>
      <c r="F37" s="2670"/>
      <c r="G37" s="1312"/>
      <c r="H37" s="1312"/>
      <c r="I37" s="1312"/>
    </row>
    <row r="38" spans="1:15" ht="15">
      <c r="A38" s="3790"/>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710" t="s">
        <v>834</v>
      </c>
      <c r="B45" s="3711"/>
      <c r="C45" s="3712"/>
      <c r="D45" s="2254" t="e">
        <f ca="1">ROUND(H101*F45,0)</f>
        <v>#REF!</v>
      </c>
      <c r="E45" s="2692" t="s">
        <v>835</v>
      </c>
      <c r="F45" s="2693">
        <v>1</v>
      </c>
      <c r="G45" s="2265" t="s">
        <v>836</v>
      </c>
      <c r="H45" s="1312"/>
      <c r="I45" s="1312"/>
      <c r="J45" s="3713" t="s">
        <v>837</v>
      </c>
      <c r="K45" s="3713"/>
      <c r="L45" s="3713"/>
      <c r="M45" s="3713"/>
      <c r="N45" s="3713"/>
      <c r="O45" s="3713"/>
    </row>
    <row r="46" spans="1:15" ht="14.25" customHeight="1">
      <c r="A46" s="3714" t="s">
        <v>838</v>
      </c>
      <c r="B46" s="3715"/>
      <c r="C46" s="3715"/>
      <c r="D46" s="3715"/>
      <c r="E46" s="3715"/>
      <c r="F46" s="3715"/>
      <c r="G46" s="3716"/>
      <c r="H46" s="2694"/>
      <c r="I46" s="1313"/>
      <c r="J46" s="567">
        <v>1</v>
      </c>
      <c r="K46" s="3717" t="s">
        <v>839</v>
      </c>
      <c r="L46" s="3717"/>
      <c r="M46" s="3718"/>
      <c r="N46" s="3718"/>
      <c r="O46" s="3718"/>
    </row>
    <row r="47" spans="1:15" ht="12" customHeight="1">
      <c r="A47" s="2695" t="s">
        <v>840</v>
      </c>
      <c r="B47" s="2696"/>
      <c r="C47" s="2697"/>
      <c r="D47" s="2304" t="s">
        <v>841</v>
      </c>
      <c r="E47" s="2255" t="s">
        <v>842</v>
      </c>
      <c r="F47" s="2698" t="s">
        <v>843</v>
      </c>
      <c r="G47" s="2699" t="s">
        <v>844</v>
      </c>
      <c r="H47" s="2700"/>
      <c r="I47" s="1313"/>
      <c r="J47" s="567">
        <v>2</v>
      </c>
      <c r="K47" s="3717" t="s">
        <v>845</v>
      </c>
      <c r="L47" s="3717"/>
      <c r="M47" s="3720">
        <f>'数据-取费表'!B2</f>
        <v>37533</v>
      </c>
      <c r="N47" s="3720"/>
      <c r="O47" s="3720"/>
    </row>
    <row r="48" spans="1:15" ht="25.5">
      <c r="A48" s="3721" t="s">
        <v>846</v>
      </c>
      <c r="B48" s="3722"/>
      <c r="C48" s="3722"/>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17" t="s">
        <v>848</v>
      </c>
      <c r="L48" s="3717"/>
      <c r="M48" s="3723" t="e">
        <f ca="1">H101</f>
        <v>#REF!</v>
      </c>
      <c r="N48" s="3723"/>
      <c r="O48" s="3723"/>
    </row>
    <row r="49" spans="1:35" ht="25.5" customHeight="1">
      <c r="A49" s="2701" t="s">
        <v>849</v>
      </c>
      <c r="B49" s="3724" t="s">
        <v>850</v>
      </c>
      <c r="C49" s="3724"/>
      <c r="D49" s="2705">
        <v>0</v>
      </c>
      <c r="E49" s="2314" t="s">
        <v>851</v>
      </c>
      <c r="F49" s="2706" t="s">
        <v>124</v>
      </c>
      <c r="G49" s="3729"/>
      <c r="H49" s="2707" t="s">
        <v>852</v>
      </c>
      <c r="I49" s="2741"/>
      <c r="J49" s="567">
        <v>4</v>
      </c>
      <c r="K49" s="3717" t="str">
        <f>IF(项目基本情况!E8="房地产抵押价值","房地产抵押价值","抵押担保权已注销时的房地产抵押价值")</f>
        <v>抵押担保权已注销时的房地产抵押价值</v>
      </c>
      <c r="L49" s="3717"/>
      <c r="M49" s="3723" t="str">
        <f>IF(项目基本情况!E8="房地产抵押价值",H107,H109)</f>
        <v>——</v>
      </c>
      <c r="N49" s="3723"/>
      <c r="O49" s="3723"/>
    </row>
    <row r="50" spans="1:35" ht="25.5" customHeight="1">
      <c r="A50" s="2708"/>
      <c r="B50" s="3724" t="s">
        <v>853</v>
      </c>
      <c r="C50" s="3724"/>
      <c r="D50" s="2709"/>
      <c r="E50" s="2329"/>
      <c r="F50" s="2706"/>
      <c r="G50" s="3730"/>
      <c r="H50" s="2710" t="s">
        <v>854</v>
      </c>
      <c r="I50" s="2741"/>
      <c r="J50" s="3713" t="s">
        <v>855</v>
      </c>
      <c r="K50" s="3713"/>
      <c r="L50" s="3713"/>
      <c r="M50" s="3713"/>
      <c r="N50" s="3713"/>
      <c r="O50" s="3713"/>
    </row>
    <row r="51" spans="1:35" ht="20.45" customHeight="1">
      <c r="A51" s="2711"/>
      <c r="B51" s="3724" t="s">
        <v>856</v>
      </c>
      <c r="C51" s="3724"/>
      <c r="D51" s="2304"/>
      <c r="E51" s="2318"/>
      <c r="F51" s="2706"/>
      <c r="G51" s="3731"/>
      <c r="H51" s="2710" t="s">
        <v>857</v>
      </c>
      <c r="I51" s="2741"/>
      <c r="J51" s="2740" t="s">
        <v>858</v>
      </c>
      <c r="K51" s="3717" t="s">
        <v>859</v>
      </c>
      <c r="L51" s="3717"/>
      <c r="M51" s="2740" t="s">
        <v>860</v>
      </c>
      <c r="N51" s="2740" t="s">
        <v>861</v>
      </c>
      <c r="O51" s="2740" t="s">
        <v>862</v>
      </c>
    </row>
    <row r="52" spans="1:35" ht="24" customHeight="1">
      <c r="A52" s="2712" t="s">
        <v>863</v>
      </c>
      <c r="B52" s="3724" t="s">
        <v>864</v>
      </c>
      <c r="C52" s="3724"/>
      <c r="D52" s="2304" t="e">
        <f ca="1">ROUND(D45*'数据-取费表'!B41/(1+'数据-取费表'!C42),0)</f>
        <v>#REF!</v>
      </c>
      <c r="E52" s="2308" t="s">
        <v>865</v>
      </c>
      <c r="F52" s="2713">
        <f>'数据-取费表'!B41</f>
        <v>5.5E-2</v>
      </c>
      <c r="G52" s="2714"/>
      <c r="H52" s="2419"/>
      <c r="I52" s="2742"/>
      <c r="J52" s="567">
        <v>1</v>
      </c>
      <c r="K52" s="3725" t="s">
        <v>866</v>
      </c>
      <c r="L52" s="3725"/>
      <c r="M52" s="2743" t="b">
        <f>D48</f>
        <v>0</v>
      </c>
      <c r="N52" s="567" t="str">
        <f>E48</f>
        <v>销售额×税（费）率</v>
      </c>
      <c r="O52" s="2744">
        <f>F48</f>
        <v>5.5E-2</v>
      </c>
    </row>
    <row r="53" spans="1:35" ht="12" customHeight="1">
      <c r="A53" s="2712" t="s">
        <v>867</v>
      </c>
      <c r="B53" s="3726" t="s">
        <v>868</v>
      </c>
      <c r="C53" s="3727"/>
      <c r="D53" s="2304" t="e">
        <f ca="1">ROUND(D45*'数据-取费表'!B41/(1+'数据-取费表'!C42),0)</f>
        <v>#REF!</v>
      </c>
      <c r="E53" s="2308" t="s">
        <v>865</v>
      </c>
      <c r="F53" s="2713">
        <f>'数据-取费表'!B41</f>
        <v>5.5E-2</v>
      </c>
      <c r="G53" s="2714"/>
      <c r="H53" s="2419"/>
      <c r="I53" s="2742"/>
      <c r="J53" s="567">
        <v>2</v>
      </c>
      <c r="K53" s="3725" t="s">
        <v>869</v>
      </c>
      <c r="L53" s="3725"/>
      <c r="M53" s="2743" t="e">
        <f t="shared" ref="M53:O54" ca="1" si="0">D55</f>
        <v>#REF!</v>
      </c>
      <c r="N53" s="567" t="str">
        <f t="shared" si="0"/>
        <v>销售额×税（费）率</v>
      </c>
      <c r="O53" s="2744" t="str">
        <f t="shared" si="0"/>
        <v>免征</v>
      </c>
    </row>
    <row r="54" spans="1:35" ht="12" customHeight="1">
      <c r="A54" s="2712" t="s">
        <v>870</v>
      </c>
      <c r="B54" s="3726" t="s">
        <v>871</v>
      </c>
      <c r="C54" s="3727"/>
      <c r="D54" s="2304" t="e">
        <f ca="1">C68</f>
        <v>#REF!</v>
      </c>
      <c r="E54" s="2318" t="s">
        <v>872</v>
      </c>
      <c r="F54" s="2713">
        <f>'数据-取费表'!B41</f>
        <v>5.5E-2</v>
      </c>
      <c r="G54" s="2714"/>
      <c r="H54" s="2715"/>
      <c r="I54" s="2742"/>
      <c r="J54" s="567">
        <v>3</v>
      </c>
      <c r="K54" s="3725" t="s">
        <v>873</v>
      </c>
      <c r="L54" s="3725"/>
      <c r="M54" s="2743" t="e">
        <f t="shared" ca="1" si="0"/>
        <v>#REF!</v>
      </c>
      <c r="N54" s="567" t="str">
        <f t="shared" si="0"/>
        <v>增值额×税（费）率</v>
      </c>
      <c r="O54" s="2745" t="str">
        <f t="shared" si="0"/>
        <v>免征</v>
      </c>
    </row>
    <row r="55" spans="1:35" ht="24" customHeight="1">
      <c r="A55" s="3728" t="s">
        <v>874</v>
      </c>
      <c r="B55" s="3722"/>
      <c r="C55" s="3722"/>
      <c r="D55" s="2405" t="e">
        <f ca="1">IF(H55="个人住宅",0,ROUND(D45*I55,0))</f>
        <v>#REF!</v>
      </c>
      <c r="E55" s="2308" t="s">
        <v>875</v>
      </c>
      <c r="F55" s="2713" t="str">
        <f>IF(H55="正常",I55,"免征")</f>
        <v>免征</v>
      </c>
      <c r="G55" s="2714"/>
      <c r="H55" s="2704"/>
      <c r="I55" s="2746">
        <f>'数据-取费表'!B49</f>
        <v>5.0000000000000001E-4</v>
      </c>
      <c r="J55" s="567">
        <f>IF(H59="非个人房产","",4)</f>
        <v>4</v>
      </c>
      <c r="K55" s="3725" t="str">
        <f>IF(H59="非个人房产","——","个人所得税")</f>
        <v>个人所得税</v>
      </c>
      <c r="L55" s="3725"/>
      <c r="M55" s="2747" t="e">
        <f ca="1">D59</f>
        <v>#REF!</v>
      </c>
      <c r="N55" s="548" t="str">
        <f>E59</f>
        <v>差额计税</v>
      </c>
      <c r="O55" s="2748">
        <f>F59</f>
        <v>0.01</v>
      </c>
    </row>
    <row r="56" spans="1:35" ht="24.75">
      <c r="A56" s="3728" t="s">
        <v>876</v>
      </c>
      <c r="B56" s="3722"/>
      <c r="C56" s="3722"/>
      <c r="D56" s="2405" t="e">
        <f ca="1">IF(H56="个人住宅",D57,D58)</f>
        <v>#REF!</v>
      </c>
      <c r="E56" s="2308" t="s">
        <v>877</v>
      </c>
      <c r="F56" s="2713" t="str">
        <f>IF(H56="正常",F58,"免征")</f>
        <v>免征</v>
      </c>
      <c r="G56" s="2716" t="s">
        <v>878</v>
      </c>
      <c r="H56" s="2717"/>
      <c r="I56" s="2726"/>
      <c r="J56" s="567" t="str">
        <f>IF(项目基本情况!K6="上海银行",IF(J55="",4,J55+1),"")</f>
        <v/>
      </c>
      <c r="K56" s="3741" t="str">
        <f>IF(项目基本情况!K6="上海银行","其他处置费用","")</f>
        <v/>
      </c>
      <c r="L56" s="3742"/>
      <c r="M56" s="2743" t="str">
        <f>IF(项目基本情况!K6="上海银行",M69,"")</f>
        <v/>
      </c>
      <c r="N56" s="3741" t="str">
        <f>IF(项目基本情况!K6="上海银行","包含处置中涉及的律师、诉讼、拍卖、评估等费用","")</f>
        <v/>
      </c>
      <c r="O56" s="3743"/>
    </row>
    <row r="57" spans="1:35" ht="12.75">
      <c r="A57" s="2712" t="s">
        <v>849</v>
      </c>
      <c r="B57" s="3726" t="s">
        <v>879</v>
      </c>
      <c r="C57" s="3727"/>
      <c r="D57" s="2705">
        <v>0</v>
      </c>
      <c r="E57" s="2314" t="s">
        <v>851</v>
      </c>
      <c r="F57" s="2255"/>
      <c r="G57" s="2714"/>
      <c r="H57" s="2718"/>
      <c r="I57" s="2726"/>
      <c r="J57" s="3725">
        <f>IF(AND(J55="",J56=""),4,IF(项目基本情况!K6="上海银行",结果表!J56+1,结果表!J55+1))</f>
        <v>5</v>
      </c>
      <c r="K57" s="3725" t="s">
        <v>880</v>
      </c>
      <c r="L57" s="2749" t="s">
        <v>881</v>
      </c>
      <c r="M57" s="2750"/>
      <c r="N57" s="2751">
        <f ca="1">SUMIF(M52:M56,"&lt;9e307")</f>
        <v>0</v>
      </c>
      <c r="O57" s="2752"/>
      <c r="P57" s="2753" t="e">
        <f ca="1">N57/M49</f>
        <v>#VALUE!</v>
      </c>
    </row>
    <row r="58" spans="1:35" ht="24.75">
      <c r="A58" s="2712" t="s">
        <v>863</v>
      </c>
      <c r="B58" s="3726" t="s">
        <v>882</v>
      </c>
      <c r="C58" s="3724"/>
      <c r="D58" s="2405" t="e">
        <f ca="1">IF(H58="转让取得",C81,C97)</f>
        <v>#REF!</v>
      </c>
      <c r="E58" s="2308" t="s">
        <v>877</v>
      </c>
      <c r="F58" s="2255" t="s">
        <v>124</v>
      </c>
      <c r="G58" s="2714"/>
      <c r="H58" s="2717"/>
      <c r="I58" s="2726"/>
      <c r="J58" s="3725"/>
      <c r="K58" s="3725"/>
      <c r="L58" s="2749" t="s">
        <v>883</v>
      </c>
      <c r="M58" s="2754"/>
      <c r="N58" s="2755" t="str">
        <f ca="1">NUMBERSTRING(INT(N57*10000),2)&amp;"元整"</f>
        <v>零元整</v>
      </c>
      <c r="O58" s="2756"/>
    </row>
    <row r="59" spans="1:35" ht="24">
      <c r="A59" s="3744" t="s">
        <v>884</v>
      </c>
      <c r="B59" s="3745"/>
      <c r="C59" s="3745"/>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47">
        <f>J57+1</f>
        <v>6</v>
      </c>
      <c r="K59" s="3725" t="s">
        <v>886</v>
      </c>
      <c r="L59" s="567" t="s">
        <v>881</v>
      </c>
      <c r="M59" s="2758"/>
      <c r="N59" s="2759" t="e">
        <f ca="1">M49-N57</f>
        <v>#VALUE!</v>
      </c>
      <c r="O59" s="2760"/>
    </row>
    <row r="60" spans="1:35" ht="12" customHeight="1">
      <c r="A60" s="2724"/>
      <c r="B60" s="2398"/>
      <c r="C60" s="2398"/>
      <c r="D60" s="2398"/>
      <c r="E60" s="2725"/>
      <c r="F60" s="2726"/>
      <c r="G60" s="2726"/>
      <c r="H60" s="1313"/>
      <c r="I60" s="1312"/>
      <c r="J60" s="3748"/>
      <c r="K60" s="3725"/>
      <c r="L60" s="2749" t="s">
        <v>883</v>
      </c>
      <c r="M60" s="2754"/>
      <c r="N60" s="2755" t="e">
        <f ca="1">NUMBERSTRING(INT(N59*10000),2)&amp;"元整"</f>
        <v>#VALUE!</v>
      </c>
      <c r="O60" s="2756"/>
    </row>
    <row r="61" spans="1:35" ht="12.75">
      <c r="A61" s="3746" t="s">
        <v>887</v>
      </c>
      <c r="B61" s="3746"/>
      <c r="C61" s="3746"/>
      <c r="D61" s="3746"/>
      <c r="E61" s="3746"/>
      <c r="F61" s="2726"/>
      <c r="G61" s="2726"/>
      <c r="H61" s="1313"/>
      <c r="I61" s="1312"/>
      <c r="J61" s="567">
        <f>J59+1</f>
        <v>7</v>
      </c>
      <c r="K61" s="3725" t="s">
        <v>888</v>
      </c>
      <c r="L61" s="3725"/>
      <c r="M61" s="2761"/>
      <c r="N61" s="2762" t="e">
        <f ca="1">ROUND(N59*10000/'数据-汇总表'!E3,0)</f>
        <v>#VALUE!</v>
      </c>
      <c r="O61" s="2763"/>
    </row>
    <row r="62" spans="1:35" ht="12.75">
      <c r="A62" s="3734" t="s">
        <v>889</v>
      </c>
      <c r="B62" s="3735"/>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78"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78"/>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78"/>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78"/>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78"/>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78"/>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78"/>
      <c r="K69" s="2764" t="s">
        <v>913</v>
      </c>
      <c r="L69" s="2764"/>
      <c r="M69" s="2255" t="e">
        <f>ROUND(SUM(M63:M68),0)</f>
        <v>#VALUE!</v>
      </c>
      <c r="N69" s="2839" t="e">
        <f>M69/M49</f>
        <v>#VALUE!</v>
      </c>
      <c r="Z69" s="2599"/>
      <c r="AI69" s="2600"/>
    </row>
    <row r="70" spans="1:35" s="1253" customFormat="1" ht="14.25">
      <c r="A70" s="3732" t="s">
        <v>914</v>
      </c>
      <c r="B70" s="3733"/>
      <c r="C70" s="3733"/>
      <c r="D70" s="3733"/>
      <c r="E70" s="3733"/>
      <c r="F70" s="3733"/>
      <c r="G70" s="3733"/>
      <c r="H70" s="3733"/>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34" t="s">
        <v>889</v>
      </c>
      <c r="B71" s="3735"/>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26" t="s">
        <v>924</v>
      </c>
      <c r="F76" s="3724"/>
      <c r="G76" s="3724"/>
      <c r="H76" s="3777"/>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38" t="s">
        <v>929</v>
      </c>
      <c r="F78" s="3739"/>
      <c r="G78" s="3739"/>
      <c r="H78" s="3740"/>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32" t="s">
        <v>934</v>
      </c>
      <c r="B83" s="3733"/>
      <c r="C83" s="3733"/>
      <c r="D83" s="3733"/>
      <c r="E83" s="3733"/>
      <c r="F83" s="3733"/>
      <c r="G83" s="3733"/>
      <c r="H83" s="3733"/>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34" t="s">
        <v>889</v>
      </c>
      <c r="B84" s="3735"/>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36" t="s">
        <v>942</v>
      </c>
      <c r="H90" s="3737"/>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38" t="s">
        <v>946</v>
      </c>
      <c r="F91" s="3739"/>
      <c r="G91" s="3739"/>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38" t="s">
        <v>949</v>
      </c>
      <c r="F92" s="3739"/>
      <c r="G92" s="3739"/>
      <c r="H92" s="3740"/>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38" t="s">
        <v>929</v>
      </c>
      <c r="F93" s="3739"/>
      <c r="G93" s="3739"/>
      <c r="H93" s="3740"/>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62" t="s">
        <v>954</v>
      </c>
      <c r="F94" s="3763"/>
      <c r="G94" s="3763"/>
      <c r="H94" s="3764"/>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694" t="s">
        <v>956</v>
      </c>
      <c r="B100" s="3695"/>
      <c r="C100" s="3695"/>
      <c r="D100" s="3765"/>
      <c r="E100" s="3695" t="s">
        <v>957</v>
      </c>
      <c r="F100" s="3695"/>
      <c r="G100" s="3695"/>
      <c r="H100" s="3765"/>
      <c r="I100" s="1312"/>
    </row>
    <row r="101" spans="1:35" ht="18.75" customHeight="1">
      <c r="A101" s="3766" t="s">
        <v>958</v>
      </c>
      <c r="B101" s="3767"/>
      <c r="C101" s="2816" t="str">
        <f>C4</f>
        <v>成本法 (元)</v>
      </c>
      <c r="D101" s="2817" t="str">
        <f>D4</f>
        <v>比较法-住宅</v>
      </c>
      <c r="E101" s="3779" t="s">
        <v>959</v>
      </c>
      <c r="F101" s="3780"/>
      <c r="G101" s="2819" t="s">
        <v>960</v>
      </c>
      <c r="H101" s="2820" t="e">
        <f ca="1">H118</f>
        <v>#REF!</v>
      </c>
      <c r="I101" s="1312"/>
    </row>
    <row r="102" spans="1:35" ht="18.75" customHeight="1">
      <c r="A102" s="3791" t="s">
        <v>961</v>
      </c>
      <c r="B102" s="2821" t="s">
        <v>960</v>
      </c>
      <c r="C102" s="2816">
        <f ca="1">IF(D32="楼面单价",ROUND(C19,0),C19)</f>
        <v>32.6907</v>
      </c>
      <c r="D102" s="2817">
        <f ca="1">IF(D32="楼面单价",ROUND(D19,0),D19)</f>
        <v>44.995600000000003</v>
      </c>
      <c r="E102" s="3779"/>
      <c r="F102" s="3780"/>
      <c r="G102" s="2819" t="s">
        <v>99</v>
      </c>
      <c r="H102" s="2714" t="e">
        <f ca="1">I118</f>
        <v>#REF!</v>
      </c>
      <c r="I102" s="1312"/>
    </row>
    <row r="103" spans="1:35" ht="42.75" customHeight="1">
      <c r="A103" s="3791"/>
      <c r="B103" s="2821" t="s">
        <v>99</v>
      </c>
      <c r="C103" s="2822">
        <f ca="1">C20</f>
        <v>3260</v>
      </c>
      <c r="D103" s="2823">
        <f ca="1">D20</f>
        <v>4487</v>
      </c>
      <c r="E103" s="3768" t="s">
        <v>962</v>
      </c>
      <c r="F103" s="3769"/>
      <c r="G103" s="2824" t="s">
        <v>102</v>
      </c>
      <c r="H103" s="2820">
        <f>IF(D36="正常操作",H104+H105+H106,H105+H106)</f>
        <v>0</v>
      </c>
      <c r="I103" s="1312"/>
    </row>
    <row r="104" spans="1:35" ht="18.75" customHeight="1">
      <c r="A104" s="3791"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92"/>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81" t="str">
        <f>IF(项目基本情况!E8="已注销","——","3.房地产抵押价值")</f>
        <v>3.房地产抵押价值</v>
      </c>
      <c r="F107" s="3780"/>
      <c r="G107" s="2819" t="s">
        <v>960</v>
      </c>
      <c r="H107" s="2820" t="e">
        <f ca="1">IF(E107="——","——",H101-H103)</f>
        <v>#REF!</v>
      </c>
      <c r="I107" s="1312"/>
    </row>
    <row r="108" spans="1:35" ht="18.75" customHeight="1">
      <c r="A108" s="1312"/>
      <c r="B108" s="1312"/>
      <c r="C108" s="1312"/>
      <c r="D108" s="1312"/>
      <c r="E108" s="3781"/>
      <c r="F108" s="3780"/>
      <c r="G108" s="2819" t="s">
        <v>99</v>
      </c>
      <c r="H108" s="2714">
        <f ca="1">IF(H107=H101,H102,ROUND(H107*10000/'数据-汇总表'!E3,0))</f>
        <v>0</v>
      </c>
      <c r="I108" s="1312"/>
    </row>
    <row r="109" spans="1:35" ht="18.75" customHeight="1">
      <c r="A109" s="1312"/>
      <c r="B109" s="1312"/>
      <c r="C109" s="1312"/>
      <c r="D109" s="1312"/>
      <c r="E109" s="3781" t="str">
        <f>IF(项目基本情况!E8="已注销及未注销","4.抵押担保权已注销时的房地产抵押价值",IF(项目基本情况!E8="已注销","3.抵押担保权已注销时的房地产抵押价值","——"))</f>
        <v>——</v>
      </c>
      <c r="F109" s="3780"/>
      <c r="G109" s="2819" t="s">
        <v>960</v>
      </c>
      <c r="H109" s="2835" t="str">
        <f>IF(E109="——","——",H101-H105-H106)</f>
        <v>——</v>
      </c>
      <c r="I109" s="1312"/>
    </row>
    <row r="110" spans="1:35" ht="18.75" customHeight="1">
      <c r="A110" s="1312"/>
      <c r="B110" s="1312"/>
      <c r="C110" s="1312"/>
      <c r="D110" s="1312"/>
      <c r="E110" s="3781"/>
      <c r="F110" s="3780"/>
      <c r="G110" s="2819" t="s">
        <v>99</v>
      </c>
      <c r="H110" s="2714" t="str">
        <f>IF(H109="——","——",ROUND(H109*10000/'数据-汇总表'!E3,0))</f>
        <v>——</v>
      </c>
      <c r="I110" s="1312"/>
    </row>
    <row r="111" spans="1:35" ht="18.75" customHeight="1">
      <c r="A111" s="1312"/>
      <c r="B111" s="1312"/>
      <c r="C111" s="1312"/>
      <c r="D111" s="1312"/>
      <c r="E111" s="3782" t="str">
        <f>IF(项目基本情况!E9="抵押净值",IF(OR(项目基本情况!E8="已注销",项目基本情况!E8="房地产抵押价值"),"4.抵押净值","5.抵押净值"),"——")</f>
        <v>——</v>
      </c>
      <c r="F111" s="3749"/>
      <c r="G111" s="2819" t="s">
        <v>960</v>
      </c>
      <c r="H111" s="2820" t="str">
        <f>IF(E111="——","——",N59)</f>
        <v>——</v>
      </c>
      <c r="I111" s="1312"/>
    </row>
    <row r="112" spans="1:35" ht="18.75" customHeight="1">
      <c r="A112" s="1312"/>
      <c r="B112" s="1312"/>
      <c r="C112" s="1312"/>
      <c r="D112" s="1312"/>
      <c r="E112" s="3783"/>
      <c r="F112" s="3784"/>
      <c r="G112" s="2836" t="s">
        <v>99</v>
      </c>
      <c r="H112" s="2837" t="str">
        <f>IF(E111="——","——",N61)</f>
        <v>——</v>
      </c>
      <c r="I112" s="1312"/>
    </row>
    <row r="113" spans="1:27" ht="18.75" customHeight="1">
      <c r="A113" s="1312"/>
      <c r="B113" s="1312"/>
      <c r="C113" s="1312"/>
      <c r="D113" s="1312"/>
      <c r="E113" s="3770" t="s">
        <v>966</v>
      </c>
      <c r="F113" s="3770"/>
      <c r="G113" s="3770"/>
      <c r="H113" s="3770"/>
      <c r="I113" s="1312"/>
    </row>
    <row r="114" spans="1:27" ht="3.75" customHeight="1">
      <c r="A114" s="2398"/>
      <c r="B114" s="2398"/>
      <c r="C114" s="2398"/>
      <c r="D114" s="2398"/>
      <c r="E114" s="2724"/>
      <c r="F114" s="2724"/>
      <c r="G114" s="2724"/>
      <c r="H114" s="2724"/>
      <c r="I114" s="2398"/>
    </row>
    <row r="115" spans="1:27" ht="18.75" customHeight="1">
      <c r="A115" s="3771" t="s">
        <v>968</v>
      </c>
      <c r="B115" s="3772"/>
      <c r="C115" s="3772"/>
      <c r="D115" s="3772"/>
      <c r="E115" s="3772"/>
      <c r="F115" s="3772"/>
      <c r="G115" s="3772"/>
      <c r="H115" s="3772"/>
      <c r="I115" s="3773"/>
    </row>
    <row r="116" spans="1:27" ht="27" customHeight="1">
      <c r="A116" s="3753" t="s">
        <v>969</v>
      </c>
      <c r="B116" s="3760" t="s">
        <v>970</v>
      </c>
      <c r="C116" s="3760" t="s">
        <v>971</v>
      </c>
      <c r="D116" s="3774" t="s">
        <v>972</v>
      </c>
      <c r="E116" s="3775"/>
      <c r="F116" s="3776" t="s">
        <v>973</v>
      </c>
      <c r="G116" s="3776"/>
      <c r="H116" s="3753" t="s">
        <v>974</v>
      </c>
      <c r="I116" s="3753"/>
    </row>
    <row r="117" spans="1:27" ht="18.75" customHeight="1">
      <c r="A117" s="3753"/>
      <c r="B117" s="3761"/>
      <c r="C117" s="3761"/>
      <c r="D117" s="859" t="s">
        <v>975</v>
      </c>
      <c r="E117" s="859" t="s">
        <v>803</v>
      </c>
      <c r="F117" s="859" t="s">
        <v>975</v>
      </c>
      <c r="G117" s="859" t="s">
        <v>803</v>
      </c>
      <c r="H117" s="859" t="s">
        <v>975</v>
      </c>
      <c r="I117" s="859" t="s">
        <v>803</v>
      </c>
    </row>
    <row r="118" spans="1:27" ht="24.75" customHeight="1">
      <c r="A118" s="2838" t="str">
        <f>项目基本情况!S2</f>
        <v>北京市房地产</v>
      </c>
      <c r="B118" s="859">
        <f>M18</f>
        <v>100.28</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53" t="s">
        <v>976</v>
      </c>
      <c r="B119" s="3753"/>
      <c r="C119" s="3753"/>
      <c r="D119" s="3754" t="e">
        <f ca="1">NUMBERSTRING(INT(D118*10000),2)&amp;"元整"</f>
        <v>#REF!</v>
      </c>
      <c r="E119" s="3756"/>
      <c r="F119" s="3754" t="e">
        <f ca="1">NUMBERSTRING(INT(F118*10000),2)&amp;"元整"</f>
        <v>#REF!</v>
      </c>
      <c r="G119" s="3756"/>
      <c r="H119" s="3754" t="e">
        <f ca="1">NUMBERSTRING(INT(H118*10000),2)&amp;"元整"</f>
        <v>#REF!</v>
      </c>
      <c r="I119" s="3756"/>
    </row>
    <row r="120" spans="1:27" ht="18.75" customHeight="1">
      <c r="A120" s="3750" t="str">
        <f>IF(项目基本情况!B9="房地产市场价值","",MID(E103,3,LEN(E103)-2))</f>
        <v>估价师知悉的法定优先受偿款</v>
      </c>
      <c r="B120" s="3751"/>
      <c r="C120" s="3752"/>
      <c r="D120" s="3750">
        <f>H103</f>
        <v>0</v>
      </c>
      <c r="E120" s="3751"/>
      <c r="F120" s="3751"/>
      <c r="G120" s="3751"/>
      <c r="H120" s="3751"/>
      <c r="I120" s="3752"/>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54" t="s">
        <v>976</v>
      </c>
      <c r="B121" s="3755"/>
      <c r="C121" s="3756"/>
      <c r="D121" s="3754" t="str">
        <f>IF(D120=0,"零元整",NUMBERSTRING(INT(D120*10000),2)&amp;"元整")</f>
        <v>零元整</v>
      </c>
      <c r="E121" s="3755"/>
      <c r="F121" s="3755"/>
      <c r="G121" s="3755"/>
      <c r="H121" s="3755"/>
      <c r="I121" s="3756"/>
      <c r="AA121" s="1271"/>
    </row>
    <row r="122" spans="1:27" ht="18.75" customHeight="1">
      <c r="A122" s="3749" t="str">
        <f>IF(项目基本情况!B9="房地产市场价值","",MID(E107,3,LEN(E107)-2))</f>
        <v>房地产抵押价值</v>
      </c>
      <c r="B122" s="3749"/>
      <c r="C122" s="3749"/>
      <c r="D122" s="3750" t="e">
        <f ca="1">H107</f>
        <v>#REF!</v>
      </c>
      <c r="E122" s="3751"/>
      <c r="F122" s="3751"/>
      <c r="G122" s="3751"/>
      <c r="H122" s="3751"/>
      <c r="I122" s="3752"/>
      <c r="AA122" s="1271"/>
    </row>
    <row r="123" spans="1:27" ht="18.75" customHeight="1">
      <c r="A123" s="3753" t="s">
        <v>976</v>
      </c>
      <c r="B123" s="3753"/>
      <c r="C123" s="3753"/>
      <c r="D123" s="3754" t="e">
        <f ca="1">NUMBERSTRING(INT(D122*10000),2)&amp;"元整"</f>
        <v>#REF!</v>
      </c>
      <c r="E123" s="3755"/>
      <c r="F123" s="3755"/>
      <c r="G123" s="3755"/>
      <c r="H123" s="3755"/>
      <c r="I123" s="3756"/>
      <c r="AA123" s="1271"/>
    </row>
    <row r="124" spans="1:27" ht="18.75" customHeight="1">
      <c r="A124" s="3749" t="str">
        <f>IF(项目基本情况!B9="房地产市场价值","",MID(E109,3,LEN(E109)-2))</f>
        <v/>
      </c>
      <c r="B124" s="3749"/>
      <c r="C124" s="3749"/>
      <c r="D124" s="3750" t="str">
        <f>H109</f>
        <v>——</v>
      </c>
      <c r="E124" s="3751"/>
      <c r="F124" s="3751"/>
      <c r="G124" s="3751"/>
      <c r="H124" s="3751"/>
      <c r="I124" s="3752"/>
      <c r="AA124" s="1271"/>
    </row>
    <row r="125" spans="1:27" ht="18.75" customHeight="1">
      <c r="A125" s="3753" t="s">
        <v>976</v>
      </c>
      <c r="B125" s="3753"/>
      <c r="C125" s="3753"/>
      <c r="D125" s="3754" t="e">
        <f>NUMBERSTRING(INT(D124*10000),2)&amp;"元整"</f>
        <v>#VALUE!</v>
      </c>
      <c r="E125" s="3755"/>
      <c r="F125" s="3755"/>
      <c r="G125" s="3755"/>
      <c r="H125" s="3755"/>
      <c r="I125" s="3756"/>
      <c r="AA125" s="1271"/>
    </row>
    <row r="126" spans="1:27" ht="18.75" customHeight="1">
      <c r="A126" s="3749" t="str">
        <f>IF(项目基本情况!B9="房地产市场价值","",MID(E111,3,LEN(E111)-2))</f>
        <v/>
      </c>
      <c r="B126" s="3749"/>
      <c r="C126" s="3749"/>
      <c r="D126" s="3750" t="str">
        <f>H111</f>
        <v>——</v>
      </c>
      <c r="E126" s="3751"/>
      <c r="F126" s="3751"/>
      <c r="G126" s="3751"/>
      <c r="H126" s="3751"/>
      <c r="I126" s="3752"/>
      <c r="AA126" s="1271"/>
    </row>
    <row r="127" spans="1:27" ht="18.75" customHeight="1">
      <c r="A127" s="3753" t="s">
        <v>976</v>
      </c>
      <c r="B127" s="3753"/>
      <c r="C127" s="3753"/>
      <c r="D127" s="3754" t="e">
        <f>NUMBERSTRING(INT(D126*10000),2)&amp;"元整"</f>
        <v>#VALUE!</v>
      </c>
      <c r="E127" s="3755"/>
      <c r="F127" s="3755"/>
      <c r="G127" s="3755"/>
      <c r="H127" s="3755"/>
      <c r="I127" s="3756"/>
      <c r="AA127" s="1271"/>
    </row>
    <row r="128" spans="1:27" ht="21.75" customHeight="1">
      <c r="A128" s="3785" t="s">
        <v>113</v>
      </c>
      <c r="B128" s="3785"/>
      <c r="C128" s="3785"/>
      <c r="D128" s="3785"/>
      <c r="E128" s="3785"/>
      <c r="F128" s="3785"/>
      <c r="G128" s="3785"/>
      <c r="H128" s="3785"/>
      <c r="I128" s="3785"/>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21374</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2131432</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16045</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16045</v>
      </c>
      <c r="D8" s="357"/>
      <c r="E8" s="355"/>
      <c r="F8" s="356"/>
      <c r="G8" s="876"/>
    </row>
    <row r="9" spans="1:9" s="326" customFormat="1" ht="13.5" customHeight="1">
      <c r="A9" s="359" t="s">
        <v>1000</v>
      </c>
      <c r="B9" s="360" t="s">
        <v>1001</v>
      </c>
      <c r="C9" s="361">
        <f ca="1">ROUND(D9*E9/10000,0)</f>
        <v>2</v>
      </c>
      <c r="D9" s="362">
        <f ca="1">IF(B1="",'数据-汇总表'!E5,IF(INDIRECT("'数据-取费表'!c"&amp;$G$1)="住宅",INDIRECT("'数据-取费表'!k"&amp;$G$1),0))</f>
        <v>100.28</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2</v>
      </c>
      <c r="D19" s="347">
        <f ca="1">D9+D10</f>
        <v>100.28</v>
      </c>
      <c r="E19" s="346">
        <f>'数据-取费表'!B31</f>
        <v>200</v>
      </c>
      <c r="F19" s="368"/>
      <c r="G19" s="876"/>
    </row>
    <row r="20" spans="1:7" s="326" customFormat="1" ht="13.5" customHeight="1">
      <c r="A20" s="344" t="s">
        <v>1023</v>
      </c>
      <c r="B20" s="345" t="s">
        <v>1024</v>
      </c>
      <c r="C20" s="369">
        <f ca="1">ROUND((C5+C19)*F20,0)</f>
        <v>321</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861</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852</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9</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2455</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2455</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21361</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10</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8</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2</v>
      </c>
      <c r="D37" s="352">
        <f ca="1">D19</f>
        <v>100.28</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794" t="s">
        <v>1064</v>
      </c>
    </row>
    <row r="43" spans="1:7" ht="13.5" customHeight="1">
      <c r="A43" s="377" t="s">
        <v>996</v>
      </c>
      <c r="B43" s="350" t="s">
        <v>1034</v>
      </c>
      <c r="C43" s="379">
        <f ca="1">ROUND(IF('数据-取费表'!B22&lt;=1,C39*F22*'数据-取费表'!B21/2,C39*(POWER((1+F22),'数据-取费表'!B21/2)-1)),0)</f>
        <v>0</v>
      </c>
      <c r="D43" s="379"/>
      <c r="E43" s="379"/>
      <c r="F43" s="380"/>
      <c r="G43" s="3795"/>
    </row>
    <row r="44" spans="1:7" ht="13.5" customHeight="1">
      <c r="A44" s="377" t="s">
        <v>998</v>
      </c>
      <c r="B44" s="350" t="s">
        <v>1036</v>
      </c>
      <c r="C44" s="379">
        <f ca="1">ROUND(IF('数据-取费表'!B22&lt;=1,C40*F22*'数据-取费表'!B21/2,C40*(POWER((1+F22),'数据-取费表'!B21/2)-1)),4)</f>
        <v>5.0000000000000001E-4</v>
      </c>
      <c r="D44" s="379"/>
      <c r="E44" s="379"/>
      <c r="F44" s="380"/>
      <c r="G44" s="3796"/>
    </row>
    <row r="45" spans="1:7" s="326" customFormat="1" ht="13.5" customHeight="1">
      <c r="A45" s="344" t="s">
        <v>1030</v>
      </c>
      <c r="B45" s="385" t="s">
        <v>1041</v>
      </c>
      <c r="C45" s="386">
        <f ca="1">C46</f>
        <v>2</v>
      </c>
      <c r="D45" s="372">
        <f ca="1">C47</f>
        <v>3.0000000000000001E-3</v>
      </c>
      <c r="E45" s="373" t="s">
        <v>1062</v>
      </c>
      <c r="F45" s="387">
        <f ca="1">F27</f>
        <v>0.15</v>
      </c>
      <c r="G45" s="388" t="s">
        <v>1065</v>
      </c>
    </row>
    <row r="46" spans="1:7" s="326" customFormat="1" ht="13.5" customHeight="1">
      <c r="A46" s="377" t="s">
        <v>994</v>
      </c>
      <c r="B46" s="389" t="s">
        <v>1066</v>
      </c>
      <c r="C46" s="390">
        <f ca="1">ROUND((C33+C39)*F27,0)</f>
        <v>2</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13</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13</v>
      </c>
      <c r="D51" s="369"/>
      <c r="E51" s="369"/>
      <c r="F51" s="404"/>
      <c r="G51" s="374" t="s">
        <v>1076</v>
      </c>
    </row>
    <row r="52" spans="1:7" s="325" customFormat="1" ht="15.75">
      <c r="A52" s="405" t="s">
        <v>1077</v>
      </c>
      <c r="B52" s="406"/>
      <c r="C52" s="407">
        <f ca="1">C31+C51</f>
        <v>21374</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12" t="str">
        <f>项目基本情况!B1</f>
        <v>北京市预评估</v>
      </c>
      <c r="C37" s="3612"/>
      <c r="D37" s="3612"/>
      <c r="E37" s="3612"/>
      <c r="F37" s="3612"/>
      <c r="G37" s="3612"/>
      <c r="H37" s="3612"/>
      <c r="I37" s="361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18262</v>
      </c>
      <c r="C2" s="2517" t="s">
        <v>1082</v>
      </c>
      <c r="D2" s="2517"/>
      <c r="E2" s="2515"/>
      <c r="F2" s="2515"/>
      <c r="G2" s="2515"/>
      <c r="H2" s="2515"/>
      <c r="I2" s="2515"/>
      <c r="J2" s="2515"/>
      <c r="K2" s="2515"/>
    </row>
    <row r="3" spans="1:33" ht="18" customHeight="1">
      <c r="A3" s="339" t="s">
        <v>987</v>
      </c>
      <c r="B3" s="340">
        <f ca="1">ROUND(B2*10000/IF(C1="",'数据-汇总表'!E3,INDIRECT("'数据-取费表'!K"&amp;$K$1)),0)</f>
        <v>1821101</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100.28</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100.28</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-16043</v>
      </c>
      <c r="D18" s="2540"/>
      <c r="E18" s="1323"/>
      <c r="F18" s="2541"/>
      <c r="G18" s="2545"/>
      <c r="H18" s="2546"/>
      <c r="I18" s="2590" t="s">
        <v>1111</v>
      </c>
      <c r="J18" s="2406"/>
      <c r="K18" s="2407"/>
    </row>
    <row r="19" spans="1:33" s="2506" customFormat="1" ht="13.5" customHeight="1">
      <c r="A19" s="2535" t="s">
        <v>1000</v>
      </c>
      <c r="B19" s="2536" t="s">
        <v>443</v>
      </c>
      <c r="C19" s="1323">
        <f ca="1">ROUND(D19*E19/10000,0)</f>
        <v>2</v>
      </c>
      <c r="D19" s="2540">
        <f ca="1">IF(C1="",'数据-汇总表'!E5,IF(INDIRECT("'数据-取费表'!c"&amp;$K$1)="住宅",INDIRECT("'数据-取费表'!k"&amp;$K$1),0))</f>
        <v>100.28</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-16043</v>
      </c>
      <c r="D21" s="2551"/>
      <c r="E21" s="2552"/>
      <c r="F21" s="2552"/>
      <c r="G21" s="2295" t="s">
        <v>1114</v>
      </c>
      <c r="H21" s="2406"/>
      <c r="I21" s="2406"/>
      <c r="J21" s="2406"/>
      <c r="K21" s="2407"/>
    </row>
    <row r="22" spans="1:33" s="2506" customFormat="1" ht="13.5" customHeight="1">
      <c r="A22" s="2524" t="s">
        <v>899</v>
      </c>
      <c r="B22" s="2549" t="s">
        <v>1115</v>
      </c>
      <c r="C22" s="2550">
        <f ca="1">ROUND(C21*F22,0)</f>
        <v>-321</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-2455</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-2455</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18262</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ROUND(F6*F8*F7*(1-F9)/10000,0)</f>
        <v>0</v>
      </c>
      <c r="D6" s="2254" t="s">
        <v>1149</v>
      </c>
      <c r="E6" s="2255" t="s">
        <v>1150</v>
      </c>
      <c r="F6" s="2256">
        <f ca="1">INDIRECT("'数据-取费表'!u"&amp;$G$1)</f>
        <v>0</v>
      </c>
      <c r="G6" s="705"/>
      <c r="H6" s="2252" t="s">
        <v>895</v>
      </c>
      <c r="I6" s="3799" t="s">
        <v>1148</v>
      </c>
      <c r="J6" s="2326">
        <f ca="1">ROUND(M6*M8*M7*(1-M9)/10000,0)</f>
        <v>0</v>
      </c>
      <c r="K6" s="2254" t="s">
        <v>1151</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0</v>
      </c>
      <c r="G7" s="705"/>
      <c r="H7" s="2261"/>
      <c r="I7" s="3800"/>
      <c r="J7" s="2262"/>
      <c r="K7" s="2259"/>
      <c r="L7" s="2255" t="s">
        <v>1152</v>
      </c>
      <c r="M7" s="2256">
        <f ca="1">F7</f>
        <v>0</v>
      </c>
    </row>
    <row r="8" spans="1:37" ht="18" customHeight="1">
      <c r="A8" s="2261"/>
      <c r="B8" s="3800"/>
      <c r="C8" s="2262"/>
      <c r="D8" s="2259"/>
      <c r="E8" s="2255" t="s">
        <v>1153</v>
      </c>
      <c r="F8" s="2256">
        <f ca="1">INDIRECT("'数据-取费表'!ai"&amp;$G$1)</f>
        <v>0</v>
      </c>
      <c r="G8" s="705"/>
      <c r="H8" s="2261"/>
      <c r="I8" s="3800"/>
      <c r="J8" s="2262"/>
      <c r="K8" s="2259"/>
      <c r="L8" s="2255" t="s">
        <v>1153</v>
      </c>
      <c r="M8" s="2256">
        <f ca="1">INDIRECT("'数据-取费表'!ai"&amp;$G$1)</f>
        <v>0</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797" t="s">
        <v>1272</v>
      </c>
      <c r="L53" s="379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ROUND(F6*F8*F7*(1-F9),0)</f>
        <v>0</v>
      </c>
      <c r="D6" s="2254" t="s">
        <v>1322</v>
      </c>
      <c r="E6" s="2255" t="s">
        <v>1150</v>
      </c>
      <c r="F6" s="2256">
        <f ca="1">INDIRECT("'数据-取费表'!u"&amp;$G$1)</f>
        <v>0</v>
      </c>
      <c r="G6" s="705"/>
      <c r="H6" s="2252" t="s">
        <v>895</v>
      </c>
      <c r="I6" s="3799" t="s">
        <v>1148</v>
      </c>
      <c r="J6" s="2326">
        <f ca="1">ROUND(M6*M8*M7*(1-M9),0)</f>
        <v>0</v>
      </c>
      <c r="K6" s="2396" t="s">
        <v>1323</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100.28</v>
      </c>
      <c r="G7" s="705"/>
      <c r="H7" s="2261"/>
      <c r="I7" s="3800"/>
      <c r="J7" s="2262"/>
      <c r="K7" s="2259"/>
      <c r="L7" s="2255" t="s">
        <v>1152</v>
      </c>
      <c r="M7" s="2256">
        <f ca="1">F7</f>
        <v>100.28</v>
      </c>
    </row>
    <row r="8" spans="1:37" ht="18" customHeight="1">
      <c r="A8" s="2261"/>
      <c r="B8" s="3800"/>
      <c r="C8" s="2262"/>
      <c r="D8" s="2259"/>
      <c r="E8" s="2255" t="s">
        <v>1153</v>
      </c>
      <c r="F8" s="2256">
        <f ca="1">INDIRECT("'数据-取费表'!ai"&amp;$G$1)</f>
        <v>12</v>
      </c>
      <c r="G8" s="705"/>
      <c r="H8" s="2261"/>
      <c r="I8" s="3800"/>
      <c r="J8" s="2262"/>
      <c r="K8" s="2259"/>
      <c r="L8" s="2255" t="s">
        <v>1153</v>
      </c>
      <c r="M8" s="2256">
        <f ca="1">INDIRECT("'数据-取费表'!ai"&amp;$G$1)</f>
        <v>12</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140521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80224</v>
      </c>
      <c r="D14" s="2286" t="s">
        <v>1165</v>
      </c>
      <c r="E14" s="2287"/>
      <c r="F14" s="2288"/>
      <c r="G14" s="705"/>
      <c r="H14" s="2284" t="s">
        <v>895</v>
      </c>
      <c r="I14" s="2255" t="s">
        <v>1166</v>
      </c>
      <c r="J14" s="1323">
        <f ca="1">C29</f>
        <v>140521</v>
      </c>
      <c r="K14" s="2405"/>
      <c r="L14" s="2406"/>
      <c r="M14" s="2407"/>
    </row>
    <row r="15" spans="1:37" s="2223" customFormat="1" ht="18" customHeight="1">
      <c r="A15" s="2284" t="s">
        <v>922</v>
      </c>
      <c r="B15" s="2255" t="s">
        <v>1095</v>
      </c>
      <c r="C15" s="1323">
        <f ca="1">ROUND(C14*F15,0)</f>
        <v>2407</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4011</v>
      </c>
      <c r="D16" s="2255" t="s">
        <v>1167</v>
      </c>
      <c r="E16" s="2255" t="s">
        <v>1168</v>
      </c>
      <c r="F16" s="2293">
        <f ca="1">IF(INDIRECT("'数据-取费表'!c"&amp;$G$1)="住宅",'数据-取费表'!B34,0)</f>
        <v>0.05</v>
      </c>
      <c r="G16" s="705"/>
      <c r="H16" s="2279" t="s">
        <v>1169</v>
      </c>
      <c r="I16" s="2280" t="s">
        <v>1170</v>
      </c>
      <c r="J16" s="2281">
        <f ca="1">ROUND(J17+J22+J23+J24,0)</f>
        <v>281</v>
      </c>
      <c r="K16" s="2304" t="s">
        <v>1171</v>
      </c>
      <c r="L16" s="2305"/>
      <c r="M16" s="2251"/>
    </row>
    <row r="17" spans="1:37" s="2223" customFormat="1" ht="18" customHeight="1">
      <c r="A17" s="2284" t="s">
        <v>1172</v>
      </c>
      <c r="B17" s="2255" t="s">
        <v>1173</v>
      </c>
      <c r="C17" s="1323">
        <f ca="1">ROUND(F17*(F43+INDIRECT("'数据-取费表'!S"&amp;$G$1)),0)</f>
        <v>20056</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1203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107901</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2158</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281</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2922</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-281</v>
      </c>
      <c r="K25" s="2323" t="s">
        <v>1209</v>
      </c>
      <c r="L25" s="2324"/>
      <c r="M25" s="2325"/>
    </row>
    <row r="26" spans="1:37" ht="18" customHeight="1">
      <c r="A26" s="2284" t="s">
        <v>918</v>
      </c>
      <c r="B26" s="2255" t="s">
        <v>1210</v>
      </c>
      <c r="C26" s="1323">
        <f ca="1">ROUND((C19+C20)*F26,0)</f>
        <v>16509</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140521</v>
      </c>
      <c r="D29" s="2301"/>
      <c r="E29" s="2277"/>
      <c r="F29" s="2302"/>
      <c r="G29" s="2291"/>
      <c r="H29" s="2303" t="s">
        <v>1225</v>
      </c>
      <c r="I29" s="2332" t="s">
        <v>1226</v>
      </c>
      <c r="J29" s="2333">
        <f ca="1">ROUND(J26/(1+F40)^F41,0)</f>
        <v>0</v>
      </c>
      <c r="K29" s="2334" t="s">
        <v>1227</v>
      </c>
      <c r="L29" s="2335"/>
      <c r="M29" s="2336">
        <f ca="1">INDIRECT("'数据-取费表'!k"&amp;$G$1)</f>
        <v>100.28</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422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281</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141</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-422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100.28</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140521</v>
      </c>
      <c r="R49" s="2470" t="s">
        <v>1244</v>
      </c>
    </row>
    <row r="50" spans="1:18" s="705" customFormat="1">
      <c r="A50" s="2360"/>
      <c r="B50" s="1288"/>
      <c r="C50" s="2361"/>
      <c r="D50" s="2362"/>
      <c r="E50" s="2363" t="s">
        <v>1152</v>
      </c>
      <c r="F50" s="2364">
        <f ca="1">F7</f>
        <v>100.28</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37</v>
      </c>
      <c r="K51" s="2445" t="s">
        <v>1262</v>
      </c>
      <c r="L51" s="2446">
        <f ca="1">ROUND(-PV(INDIRECT("'数据-取费表'!h"&amp;$G$1),J51,(C39-C13*C76),0),0)</f>
        <v>-142575</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797" t="s">
        <v>1272</v>
      </c>
      <c r="L53" s="379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140521</v>
      </c>
      <c r="D56" s="2374"/>
      <c r="E56" s="2375"/>
      <c r="F56" s="2371"/>
      <c r="I56" s="2458" t="s">
        <v>1278</v>
      </c>
      <c r="J56" s="2459" t="s">
        <v>1334</v>
      </c>
      <c r="K56" s="2435" t="s">
        <v>1279</v>
      </c>
      <c r="L56" s="2438">
        <f ca="1">IF(L48&lt;J51,"——",L48-J51)</f>
        <v>33</v>
      </c>
      <c r="O56" s="2433" t="s">
        <v>1000</v>
      </c>
      <c r="P56" s="2434" t="s">
        <v>1243</v>
      </c>
      <c r="Q56" s="2470">
        <f ca="1">C40+J29</f>
        <v>0</v>
      </c>
      <c r="R56" s="2470" t="s">
        <v>1244</v>
      </c>
    </row>
    <row r="57" spans="1:18" s="705" customFormat="1" ht="24">
      <c r="A57" s="2376"/>
      <c r="B57" s="2377" t="s">
        <v>1224</v>
      </c>
      <c r="C57" s="379">
        <f ca="1">C29</f>
        <v>140521</v>
      </c>
      <c r="D57" s="2378"/>
      <c r="E57" s="2379"/>
      <c r="F57" s="2380"/>
      <c r="I57" s="2460" t="s">
        <v>1280</v>
      </c>
      <c r="J57" s="2461" t="str">
        <f ca="1">IF(OR(M47="住宅",J51&lt;L48,J56="是"),"——",J51-L48)</f>
        <v>——</v>
      </c>
      <c r="K57" s="2435" t="s">
        <v>1335</v>
      </c>
      <c r="L57" s="2438">
        <f ca="1">IF(L48&lt;J51,"——",IF(L55="比较法",L49,IF(L55="基准地价",L50,L51)))</f>
        <v>-142575</v>
      </c>
      <c r="O57" s="2433" t="s">
        <v>1003</v>
      </c>
      <c r="P57" s="2434" t="s">
        <v>1282</v>
      </c>
      <c r="Q57" s="2470">
        <f ca="1">L60</f>
        <v>0</v>
      </c>
      <c r="R57" s="2470" t="s">
        <v>1283</v>
      </c>
    </row>
    <row r="58" spans="1:18" s="705" customFormat="1" ht="24">
      <c r="A58" s="2381" t="s">
        <v>1169</v>
      </c>
      <c r="B58" s="2373" t="s">
        <v>1170</v>
      </c>
      <c r="C58" s="1322">
        <f ca="1">ROUND(C59+C64+C65+C66,0)</f>
        <v>422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281</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141</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-422</v>
      </c>
      <c r="D67" s="2384" t="s">
        <v>1209</v>
      </c>
      <c r="E67" s="2473"/>
      <c r="F67" s="2474"/>
      <c r="O67" s="2441" t="s">
        <v>1255</v>
      </c>
      <c r="P67" s="2434" t="s">
        <v>1286</v>
      </c>
      <c r="Q67" s="2494">
        <f ca="1">L51</f>
        <v>-142575</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-7448</v>
      </c>
      <c r="R68" s="2470" t="s">
        <v>1305</v>
      </c>
    </row>
    <row r="69" spans="1:18" s="705" customFormat="1">
      <c r="A69" s="2477"/>
      <c r="B69" s="2478"/>
      <c r="C69" s="2262"/>
      <c r="D69" s="2479" t="s">
        <v>1219</v>
      </c>
      <c r="E69" s="2377" t="s">
        <v>1220</v>
      </c>
      <c r="F69" s="2330">
        <f ca="1">F41</f>
        <v>0</v>
      </c>
      <c r="O69" s="2441" t="s">
        <v>1306</v>
      </c>
      <c r="P69" s="2493" t="s">
        <v>1307</v>
      </c>
      <c r="Q69" s="2470">
        <f ca="1">C39</f>
        <v>-422</v>
      </c>
      <c r="R69" s="2470" t="s">
        <v>1244</v>
      </c>
    </row>
    <row r="70" spans="1:18" s="705" customFormat="1">
      <c r="A70" s="2480"/>
      <c r="B70" s="2481"/>
      <c r="C70" s="2281"/>
      <c r="D70" s="2389"/>
      <c r="E70" s="2377" t="s">
        <v>1223</v>
      </c>
      <c r="F70" s="2367"/>
      <c r="O70" s="2441" t="s">
        <v>1308</v>
      </c>
      <c r="P70" s="2493" t="s">
        <v>1309</v>
      </c>
      <c r="Q70" s="2470">
        <f ca="1">C13</f>
        <v>140521</v>
      </c>
      <c r="R70" s="2470" t="s">
        <v>1244</v>
      </c>
    </row>
    <row r="71" spans="1:18" s="705" customFormat="1">
      <c r="A71" s="2482" t="s">
        <v>1225</v>
      </c>
      <c r="B71" s="2483" t="s">
        <v>1231</v>
      </c>
      <c r="C71" s="2333">
        <f ca="1">ROUND(C68/F71,0)</f>
        <v>0</v>
      </c>
      <c r="D71" s="2484" t="s">
        <v>1232</v>
      </c>
      <c r="E71" s="2485" t="s">
        <v>1233</v>
      </c>
      <c r="F71" s="2336">
        <f ca="1">F43</f>
        <v>100.28</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7026</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17.649000000000001</v>
      </c>
    </row>
    <row r="80" spans="1:18">
      <c r="B80" s="2487" t="s">
        <v>1319</v>
      </c>
      <c r="C80" s="412">
        <f ca="1">ROUND(C75/C39,3)</f>
        <v>-16.649000000000001</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02" t="s">
        <v>1340</v>
      </c>
      <c r="K2" s="3803"/>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04" t="s">
        <v>1348</v>
      </c>
      <c r="K3" s="3805"/>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04" t="s">
        <v>1350</v>
      </c>
      <c r="K4" s="3805"/>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06" t="s">
        <v>1354</v>
      </c>
      <c r="B6" s="3807"/>
      <c r="C6" s="3808"/>
      <c r="D6" s="2078"/>
      <c r="E6" s="2079"/>
      <c r="F6" s="2080"/>
      <c r="G6" s="2081"/>
      <c r="H6" s="2069"/>
      <c r="I6" s="2154"/>
      <c r="J6" s="3815">
        <v>1</v>
      </c>
      <c r="K6" s="3818"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15"/>
      <c r="K7" s="3819"/>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09" t="s">
        <v>1368</v>
      </c>
      <c r="C8" s="3810"/>
      <c r="D8" s="2092" t="s">
        <v>1369</v>
      </c>
      <c r="E8" s="2093" t="s">
        <v>1370</v>
      </c>
      <c r="F8" s="2094" t="s">
        <v>1371</v>
      </c>
      <c r="G8" s="2095"/>
      <c r="H8" s="2069"/>
      <c r="I8" s="2154"/>
      <c r="J8" s="3815"/>
      <c r="K8" s="3819"/>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09" t="s">
        <v>1374</v>
      </c>
      <c r="C9" s="3810"/>
      <c r="D9" s="2092">
        <f>ROUND(D6*E9,0)</f>
        <v>0</v>
      </c>
      <c r="E9" s="2096"/>
      <c r="F9" s="2097" t="s">
        <v>1375</v>
      </c>
      <c r="G9" s="2081"/>
      <c r="H9" s="2069"/>
      <c r="I9" s="2154"/>
      <c r="J9" s="3815"/>
      <c r="K9" s="3819"/>
      <c r="L9" s="2174" t="s">
        <v>1376</v>
      </c>
      <c r="M9" s="2175"/>
      <c r="N9" s="2074"/>
      <c r="O9" s="2176"/>
      <c r="P9" s="2176"/>
      <c r="Q9" s="2107">
        <v>365</v>
      </c>
      <c r="R9" s="2208">
        <f t="shared" si="0"/>
        <v>0</v>
      </c>
      <c r="S9" s="2123"/>
      <c r="T9" s="2123"/>
      <c r="U9" s="2123"/>
      <c r="V9" s="2154"/>
    </row>
    <row r="10" spans="1:22" s="2051" customFormat="1" ht="13.15" customHeight="1">
      <c r="A10" s="2089">
        <v>2</v>
      </c>
      <c r="B10" s="3809" t="s">
        <v>1377</v>
      </c>
      <c r="C10" s="3810"/>
      <c r="D10" s="2092">
        <f>ROUND(D6*E10,0)</f>
        <v>0</v>
      </c>
      <c r="E10" s="2096"/>
      <c r="F10" s="2097" t="s">
        <v>1378</v>
      </c>
      <c r="G10" s="2081"/>
      <c r="H10" s="2069"/>
      <c r="I10" s="2154"/>
      <c r="J10" s="3815"/>
      <c r="K10" s="3819"/>
      <c r="L10" s="2174" t="s">
        <v>1379</v>
      </c>
      <c r="M10" s="2175"/>
      <c r="N10" s="2074"/>
      <c r="O10" s="2176"/>
      <c r="P10" s="2176"/>
      <c r="Q10" s="2107">
        <v>365</v>
      </c>
      <c r="R10" s="2208">
        <f t="shared" si="0"/>
        <v>0</v>
      </c>
      <c r="S10" s="2123"/>
      <c r="T10" s="2123"/>
      <c r="U10" s="2123"/>
      <c r="V10" s="2154"/>
    </row>
    <row r="11" spans="1:22" s="2051" customFormat="1" ht="13.15" customHeight="1">
      <c r="A11" s="2089">
        <v>3</v>
      </c>
      <c r="B11" s="3809" t="s">
        <v>1380</v>
      </c>
      <c r="C11" s="3810"/>
      <c r="D11" s="2092">
        <f>D12+D14+D15+D16</f>
        <v>0</v>
      </c>
      <c r="E11" s="2098" t="e">
        <f>D11/D6</f>
        <v>#DIV/0!</v>
      </c>
      <c r="F11" s="2094"/>
      <c r="G11" s="2095"/>
      <c r="H11" s="2069"/>
      <c r="I11" s="2154"/>
      <c r="J11" s="3815"/>
      <c r="K11" s="3819"/>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11" t="s">
        <v>1383</v>
      </c>
      <c r="C12" s="3812"/>
      <c r="D12" s="2102">
        <f>ROUND(D13*1.2%*(1-30%),0)</f>
        <v>0</v>
      </c>
      <c r="E12" s="2103">
        <v>1.2E-2</v>
      </c>
      <c r="F12" s="2094" t="s">
        <v>1384</v>
      </c>
      <c r="G12" s="2095"/>
      <c r="H12" s="2069"/>
      <c r="I12" s="2154"/>
      <c r="J12" s="3815"/>
      <c r="K12" s="3819"/>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15"/>
      <c r="K13" s="3819"/>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11" t="s">
        <v>1389</v>
      </c>
      <c r="C14" s="3812"/>
      <c r="D14" s="2102">
        <f>ROUND(E14*B5/10000,0)</f>
        <v>0</v>
      </c>
      <c r="E14" s="2107"/>
      <c r="F14" s="2094" t="s">
        <v>1390</v>
      </c>
      <c r="G14" s="2095"/>
      <c r="H14" s="2069"/>
      <c r="I14" s="2154"/>
      <c r="J14" s="3815"/>
      <c r="K14" s="3820"/>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11" t="s">
        <v>1393</v>
      </c>
      <c r="C15" s="3812"/>
      <c r="D15" s="2102">
        <f>ROUND(D6*E15,0)</f>
        <v>0</v>
      </c>
      <c r="E15" s="2103">
        <v>5.5E-2</v>
      </c>
      <c r="F15" s="2094" t="s">
        <v>1394</v>
      </c>
      <c r="G15" s="2081"/>
      <c r="H15" s="2069"/>
      <c r="I15" s="2154"/>
      <c r="J15" s="3815">
        <v>2</v>
      </c>
      <c r="K15" s="3818"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11" t="s">
        <v>1401</v>
      </c>
      <c r="C16" s="3812"/>
      <c r="D16" s="2108">
        <f>D6*E16</f>
        <v>0</v>
      </c>
      <c r="E16" s="2109"/>
      <c r="F16" s="2097" t="s">
        <v>1402</v>
      </c>
      <c r="G16" s="2081"/>
      <c r="H16" s="2069"/>
      <c r="I16" s="2154"/>
      <c r="J16" s="3815"/>
      <c r="K16" s="3819"/>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13" t="s">
        <v>1404</v>
      </c>
      <c r="C17" s="3814"/>
      <c r="D17" s="2111">
        <f>ROUND(D6*E17,0)</f>
        <v>0</v>
      </c>
      <c r="E17" s="2112"/>
      <c r="F17" s="2113" t="s">
        <v>1405</v>
      </c>
      <c r="G17" s="2081"/>
      <c r="H17" s="2069"/>
      <c r="I17" s="2154"/>
      <c r="J17" s="3815"/>
      <c r="K17" s="3819"/>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15"/>
      <c r="K18" s="3819"/>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15"/>
      <c r="K19" s="3820"/>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15">
        <v>3</v>
      </c>
      <c r="K20" s="3818"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15"/>
      <c r="K21" s="3819"/>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15"/>
      <c r="K22" s="3819"/>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15"/>
      <c r="K23" s="3819"/>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15"/>
      <c r="K24" s="3820"/>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16">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17"/>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02" t="s">
        <v>1340</v>
      </c>
      <c r="K32" s="3803"/>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04" t="s">
        <v>1348</v>
      </c>
      <c r="K33" s="3805"/>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04" t="s">
        <v>1350</v>
      </c>
      <c r="K34" s="3805"/>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15">
        <v>1</v>
      </c>
      <c r="K36" s="3818"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15"/>
      <c r="K37" s="3819"/>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15"/>
      <c r="K38" s="3819"/>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15"/>
      <c r="K39" s="3819"/>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15"/>
      <c r="K40" s="3820"/>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16">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17"/>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32.6907</v>
      </c>
      <c r="C2" s="2036" t="s">
        <v>1451</v>
      </c>
      <c r="D2" s="2037" t="s">
        <v>1452</v>
      </c>
      <c r="E2" s="2038">
        <f>SUM(E6:E13)</f>
        <v>100.28</v>
      </c>
      <c r="F2" s="2034"/>
      <c r="G2" s="1882"/>
      <c r="H2" s="1882"/>
      <c r="I2" s="1882"/>
      <c r="J2" s="1882"/>
      <c r="K2" s="1882"/>
      <c r="L2" s="1882"/>
      <c r="M2" s="1882"/>
      <c r="N2" s="1882"/>
      <c r="O2" s="1882"/>
      <c r="P2" s="1882"/>
      <c r="Q2" s="1882"/>
      <c r="R2" s="1882"/>
      <c r="S2" s="1882"/>
    </row>
    <row r="3" spans="1:22" ht="15.75">
      <c r="A3" s="2035" t="s">
        <v>987</v>
      </c>
      <c r="B3" s="2039">
        <f ca="1">ROUND(B2*10000/E2,0)</f>
        <v>3260</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21" t="s">
        <v>1455</v>
      </c>
      <c r="C5" s="382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32.6907</v>
      </c>
      <c r="C6" s="2036" t="s">
        <v>1451</v>
      </c>
      <c r="D6" s="2034"/>
      <c r="E6" s="2046">
        <f>IF(OR(A6=0,F6="否"),0,'数据-取费表'!K6+'数据-取费表'!S6)</f>
        <v>100.28</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90" zoomScale="60" zoomScaleNormal="60" workbookViewId="0">
      <selection activeCell="P104" sqref="P104"/>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44.995600000000003</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4487</v>
      </c>
      <c r="C3" s="1755" t="s">
        <v>1465</v>
      </c>
      <c r="D3" s="1756">
        <f>IF(D1="",'数据-汇总表'!E3,SUMIF('数据-汇总表'!$C19:$C33,D1,'数据-汇总表'!$E19:$E33))</f>
        <v>100.28</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23" t="s">
        <v>1467</v>
      </c>
      <c r="D4" s="3824"/>
      <c r="E4" s="3825" t="s">
        <v>1468</v>
      </c>
      <c r="F4" s="3826"/>
      <c r="G4" s="3823" t="s">
        <v>1469</v>
      </c>
      <c r="H4" s="3824"/>
      <c r="I4" s="3823" t="s">
        <v>1470</v>
      </c>
      <c r="J4" s="3824"/>
      <c r="K4" s="1961"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4" t="s">
        <v>1469</v>
      </c>
      <c r="AC4" s="3854" t="s">
        <v>1470</v>
      </c>
    </row>
    <row r="5" spans="1:29" ht="15">
      <c r="A5" s="1404"/>
      <c r="B5" s="1405"/>
      <c r="C5" s="3827" t="s">
        <v>3359</v>
      </c>
      <c r="D5" s="3828"/>
      <c r="E5" s="3829" t="s">
        <v>3360</v>
      </c>
      <c r="F5" s="3830"/>
      <c r="G5" s="3831" t="s">
        <v>3361</v>
      </c>
      <c r="H5" s="3828"/>
      <c r="I5" s="3831" t="s">
        <v>3361</v>
      </c>
      <c r="J5" s="3828"/>
      <c r="K5" s="1962"/>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962"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f>案例!BG6</f>
        <v>37366</v>
      </c>
      <c r="F7" s="1414">
        <f>SUMIF(58:58,YEAR(E7)&amp;"-"&amp;MONTH(E7),59:59)</f>
        <v>99.800000000000011</v>
      </c>
      <c r="G7" s="1413">
        <f>案例!BG8</f>
        <v>37422</v>
      </c>
      <c r="H7" s="1412">
        <f>SUMIF(58:58,YEAR(G7)&amp;"-"&amp;MONTH(G7),59:59)</f>
        <v>99.800000000000011</v>
      </c>
      <c r="I7" s="1413">
        <f>案例!BG10</f>
        <v>37509</v>
      </c>
      <c r="J7" s="1412">
        <f>SUMIF(58:58,YEAR(I7)&amp;"-"&amp;MONTH(I7),59:59)</f>
        <v>99.9</v>
      </c>
      <c r="K7" s="1963"/>
      <c r="L7" s="1552"/>
      <c r="M7" s="1553"/>
      <c r="N7" s="1553"/>
      <c r="O7" s="1553"/>
      <c r="P7" s="3836" t="s">
        <v>1476</v>
      </c>
      <c r="Q7" s="3837"/>
      <c r="R7" s="1596" t="s">
        <v>1477</v>
      </c>
      <c r="S7" s="1597">
        <f t="shared" ref="S7:S15" si="0">F7</f>
        <v>99.800000000000011</v>
      </c>
      <c r="T7" s="1596" t="s">
        <v>1477</v>
      </c>
      <c r="U7" s="1597">
        <f t="shared" ref="U7:U15" si="1">H7</f>
        <v>99.800000000000011</v>
      </c>
      <c r="V7" s="1596" t="s">
        <v>1477</v>
      </c>
      <c r="W7" s="1597">
        <f t="shared" ref="W7:W15" si="2">J7</f>
        <v>99.9</v>
      </c>
      <c r="X7" s="1598"/>
      <c r="Y7" s="3836" t="s">
        <v>1476</v>
      </c>
      <c r="Z7" s="3838"/>
      <c r="AA7" s="1608">
        <f>D7/F7</f>
        <v>1.002004008016032</v>
      </c>
      <c r="AB7" s="1608">
        <f>D7/H7</f>
        <v>1.002004008016032</v>
      </c>
      <c r="AC7" s="1608">
        <f>D7/J7</f>
        <v>1.0010010010010009</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93"/>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42"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43"/>
      <c r="Q16" s="612"/>
      <c r="R16" s="1600"/>
      <c r="S16" s="1601"/>
      <c r="T16" s="1600"/>
      <c r="U16" s="1601"/>
      <c r="V16" s="1600"/>
      <c r="W16" s="1601"/>
      <c r="X16" s="1595"/>
      <c r="Y16" s="3848"/>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43"/>
      <c r="Q18" s="612"/>
      <c r="R18" s="1600"/>
      <c r="S18" s="1601"/>
      <c r="T18" s="1600"/>
      <c r="U18" s="1601"/>
      <c r="V18" s="1600"/>
      <c r="W18" s="1601"/>
      <c r="X18" s="1595"/>
      <c r="Y18" s="3848"/>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43"/>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48"/>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1498</v>
      </c>
      <c r="D26" s="746">
        <v>100</v>
      </c>
      <c r="E26" s="1474" t="s">
        <v>1553</v>
      </c>
      <c r="F26" s="746">
        <f>SUMIF(88:88,E26,89:89)-SUMIF(88:88,C26,89:89)+100</f>
        <v>97</v>
      </c>
      <c r="G26" s="1942" t="s">
        <v>1552</v>
      </c>
      <c r="H26" s="746">
        <f>SUMIF(88:88,G26,89:89)-SUMIF(88:88,C26,89:89)+100</f>
        <v>97.5</v>
      </c>
      <c r="I26" s="1942" t="s">
        <v>1552</v>
      </c>
      <c r="J26" s="746">
        <f>SUMIF(88:88,I26,89:89)-SUMIF(88:88,C26,89:89)+100</f>
        <v>97.5</v>
      </c>
      <c r="K26" s="1964">
        <v>0.5</v>
      </c>
      <c r="L26" s="1563"/>
      <c r="M26" s="1497"/>
      <c r="N26" s="1497"/>
      <c r="O26" s="1497"/>
      <c r="P26" s="3843"/>
      <c r="Q26" s="612" t="str">
        <f t="shared" si="11"/>
        <v>朝向</v>
      </c>
      <c r="R26" s="1600" t="s">
        <v>1477</v>
      </c>
      <c r="S26" s="1601">
        <f t="shared" si="12"/>
        <v>97</v>
      </c>
      <c r="T26" s="1600" t="s">
        <v>1477</v>
      </c>
      <c r="U26" s="1601">
        <f t="shared" si="13"/>
        <v>97.5</v>
      </c>
      <c r="V26" s="1600" t="s">
        <v>1477</v>
      </c>
      <c r="W26" s="1601">
        <f t="shared" si="14"/>
        <v>97.5</v>
      </c>
      <c r="X26" s="1595"/>
      <c r="Y26" s="3848"/>
      <c r="Z26" s="1584" t="str">
        <f>Q26</f>
        <v>朝向</v>
      </c>
      <c r="AA26" s="1584">
        <f t="shared" si="15"/>
        <v>1.0309278350515463</v>
      </c>
      <c r="AB26" s="1584">
        <f t="shared" si="16"/>
        <v>1.0256410256410255</v>
      </c>
      <c r="AC26" s="1584">
        <f t="shared" si="17"/>
        <v>1.0256410256410255</v>
      </c>
    </row>
    <row r="27" spans="1:29" s="1381" customFormat="1" ht="15">
      <c r="A27" s="1428"/>
      <c r="B27" s="1943" t="s">
        <v>1501</v>
      </c>
      <c r="C27" s="3611" t="s">
        <v>3365</v>
      </c>
      <c r="D27" s="1452">
        <v>100</v>
      </c>
      <c r="E27" s="3611" t="s">
        <v>3366</v>
      </c>
      <c r="F27" s="1452">
        <f>SUMIF(90:90,E27,91:91)-SUMIF(90:90,C27,91:91)+100</f>
        <v>103</v>
      </c>
      <c r="G27" s="3611" t="s">
        <v>3367</v>
      </c>
      <c r="H27" s="1452">
        <f>SUMIF(90:90,G27,91:91)-SUMIF(90:90,C27,91:91)+100</f>
        <v>104</v>
      </c>
      <c r="I27" s="3611" t="s">
        <v>3368</v>
      </c>
      <c r="J27" s="1452">
        <f>SUMIF(90:90,I27,91:91)-SUMIF(90:90,C27,91:91)+100</f>
        <v>105</v>
      </c>
      <c r="K27" s="1965"/>
      <c r="L27" s="1552"/>
      <c r="M27" s="1553"/>
      <c r="N27" s="1553"/>
      <c r="O27" s="1553"/>
      <c r="P27" s="3843"/>
      <c r="Q27" s="781" t="str">
        <f t="shared" si="11"/>
        <v>楼层</v>
      </c>
      <c r="R27" s="1596" t="s">
        <v>1477</v>
      </c>
      <c r="S27" s="1597">
        <f t="shared" si="12"/>
        <v>103</v>
      </c>
      <c r="T27" s="1596" t="s">
        <v>1477</v>
      </c>
      <c r="U27" s="1597">
        <f t="shared" si="13"/>
        <v>104</v>
      </c>
      <c r="V27" s="1596" t="s">
        <v>1477</v>
      </c>
      <c r="W27" s="1597">
        <f t="shared" si="14"/>
        <v>105</v>
      </c>
      <c r="X27" s="1598"/>
      <c r="Y27" s="3848"/>
      <c r="Z27" s="1608" t="str">
        <f>Q27</f>
        <v>楼层</v>
      </c>
      <c r="AA27" s="1584">
        <f t="shared" si="15"/>
        <v>0.970873786407767</v>
      </c>
      <c r="AB27" s="1584">
        <f t="shared" si="16"/>
        <v>0.96153846153846156</v>
      </c>
      <c r="AC27" s="1584">
        <f t="shared" si="17"/>
        <v>0.95238095238095233</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43"/>
      <c r="Q28" s="612" t="str">
        <f t="shared" si="11"/>
        <v>道路级别</v>
      </c>
      <c r="R28" s="1600" t="s">
        <v>1477</v>
      </c>
      <c r="S28" s="1601">
        <f t="shared" si="12"/>
        <v>100</v>
      </c>
      <c r="T28" s="1600" t="s">
        <v>1477</v>
      </c>
      <c r="U28" s="1601">
        <f t="shared" si="13"/>
        <v>100</v>
      </c>
      <c r="V28" s="1600" t="s">
        <v>1477</v>
      </c>
      <c r="W28" s="1601">
        <f t="shared" si="14"/>
        <v>100</v>
      </c>
      <c r="X28" s="1595"/>
      <c r="Y28" s="3848"/>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44" t="s">
        <v>1508</v>
      </c>
      <c r="Q32" s="612" t="str">
        <f t="shared" si="11"/>
        <v>建筑类型</v>
      </c>
      <c r="R32" s="1600" t="s">
        <v>1477</v>
      </c>
      <c r="S32" s="1601">
        <f t="shared" si="12"/>
        <v>99</v>
      </c>
      <c r="T32" s="1600" t="s">
        <v>1477</v>
      </c>
      <c r="U32" s="1601">
        <f t="shared" si="13"/>
        <v>99</v>
      </c>
      <c r="V32" s="1600" t="s">
        <v>1477</v>
      </c>
      <c r="W32" s="1601">
        <f t="shared" si="14"/>
        <v>99</v>
      </c>
      <c r="X32" s="1595"/>
      <c r="Y32" s="3849"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100.28</v>
      </c>
      <c r="D33" s="1424">
        <v>100</v>
      </c>
      <c r="E33" s="1811">
        <f>案例!L6</f>
        <v>85.08</v>
      </c>
      <c r="F33" s="1948">
        <f>H104</f>
        <v>102</v>
      </c>
      <c r="G33" s="1811">
        <f>案例!L8</f>
        <v>85.08</v>
      </c>
      <c r="H33" s="1969">
        <f>F33</f>
        <v>102</v>
      </c>
      <c r="I33" s="1811">
        <f>案例!L10</f>
        <v>85.08</v>
      </c>
      <c r="J33" s="1969">
        <f>H33</f>
        <v>102</v>
      </c>
      <c r="K33" s="1965"/>
      <c r="L33" s="1561"/>
      <c r="M33" s="1571"/>
      <c r="N33" s="1571"/>
      <c r="O33" s="1571"/>
      <c r="P33" s="3845"/>
      <c r="Q33" s="1790" t="str">
        <f t="shared" si="11"/>
        <v>项目建筑规模</v>
      </c>
      <c r="R33" s="1602" t="s">
        <v>1477</v>
      </c>
      <c r="S33" s="1603">
        <f t="shared" si="12"/>
        <v>102</v>
      </c>
      <c r="T33" s="1602" t="s">
        <v>1477</v>
      </c>
      <c r="U33" s="1603">
        <f t="shared" si="13"/>
        <v>102</v>
      </c>
      <c r="V33" s="1602" t="s">
        <v>1477</v>
      </c>
      <c r="W33" s="1603">
        <f t="shared" si="14"/>
        <v>102</v>
      </c>
      <c r="X33" s="1604"/>
      <c r="Y33" s="3849"/>
      <c r="Z33" s="1609" t="str">
        <f t="shared" si="18"/>
        <v>项目建筑规模</v>
      </c>
      <c r="AA33" s="1584">
        <f t="shared" si="15"/>
        <v>0.98039215686274506</v>
      </c>
      <c r="AB33" s="1584">
        <f t="shared" si="16"/>
        <v>0.98039215686274506</v>
      </c>
      <c r="AC33" s="1584">
        <f t="shared" si="17"/>
        <v>0.98039215686274506</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45"/>
      <c r="Q34" s="612" t="str">
        <f t="shared" si="11"/>
        <v>建筑结构</v>
      </c>
      <c r="R34" s="1600" t="s">
        <v>1477</v>
      </c>
      <c r="S34" s="1601">
        <f t="shared" si="12"/>
        <v>100.5</v>
      </c>
      <c r="T34" s="1600" t="s">
        <v>1477</v>
      </c>
      <c r="U34" s="1601">
        <f t="shared" si="13"/>
        <v>100.5</v>
      </c>
      <c r="V34" s="1600" t="s">
        <v>1477</v>
      </c>
      <c r="W34" s="1601">
        <f t="shared" si="14"/>
        <v>100.5</v>
      </c>
      <c r="X34" s="1595"/>
      <c r="Y34" s="3849"/>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45"/>
      <c r="Q35" s="612" t="str">
        <f t="shared" si="11"/>
        <v>噪音污染</v>
      </c>
      <c r="R35" s="1600" t="s">
        <v>1477</v>
      </c>
      <c r="S35" s="1601">
        <f t="shared" si="12"/>
        <v>100</v>
      </c>
      <c r="T35" s="1600" t="s">
        <v>1477</v>
      </c>
      <c r="U35" s="1601">
        <f t="shared" si="13"/>
        <v>100</v>
      </c>
      <c r="V35" s="1600" t="s">
        <v>1477</v>
      </c>
      <c r="W35" s="1601">
        <f t="shared" si="14"/>
        <v>100</v>
      </c>
      <c r="X35" s="1595"/>
      <c r="Y35" s="3849"/>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45"/>
      <c r="Q37" s="781" t="str">
        <f t="shared" si="11"/>
        <v>建成年代</v>
      </c>
      <c r="R37" s="1596" t="s">
        <v>1477</v>
      </c>
      <c r="S37" s="1597">
        <f t="shared" si="12"/>
        <v>99.5</v>
      </c>
      <c r="T37" s="1596" t="s">
        <v>1477</v>
      </c>
      <c r="U37" s="1597">
        <f t="shared" si="13"/>
        <v>99.5</v>
      </c>
      <c r="V37" s="1596" t="s">
        <v>1477</v>
      </c>
      <c r="W37" s="1597">
        <f t="shared" si="14"/>
        <v>99.5</v>
      </c>
      <c r="X37" s="1598"/>
      <c r="Y37" s="3849"/>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45" t="s">
        <v>1508</v>
      </c>
      <c r="Q38" s="612" t="str">
        <f t="shared" si="11"/>
        <v>物业管理</v>
      </c>
      <c r="R38" s="1600" t="s">
        <v>1477</v>
      </c>
      <c r="S38" s="1601">
        <f t="shared" si="12"/>
        <v>100</v>
      </c>
      <c r="T38" s="1600" t="s">
        <v>1477</v>
      </c>
      <c r="U38" s="1601">
        <f t="shared" si="13"/>
        <v>100</v>
      </c>
      <c r="V38" s="1600" t="s">
        <v>1477</v>
      </c>
      <c r="W38" s="1601">
        <f t="shared" si="14"/>
        <v>100</v>
      </c>
      <c r="X38" s="1595"/>
      <c r="Y38" s="3849"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45"/>
      <c r="Q39" s="612" t="str">
        <f t="shared" si="11"/>
        <v>市政基础设施</v>
      </c>
      <c r="R39" s="1600" t="s">
        <v>1477</v>
      </c>
      <c r="S39" s="1601">
        <f t="shared" si="12"/>
        <v>100</v>
      </c>
      <c r="T39" s="1600" t="s">
        <v>1477</v>
      </c>
      <c r="U39" s="1601">
        <f t="shared" si="13"/>
        <v>100</v>
      </c>
      <c r="V39" s="1600" t="s">
        <v>1477</v>
      </c>
      <c r="W39" s="1601">
        <f t="shared" si="14"/>
        <v>100</v>
      </c>
      <c r="X39" s="1595"/>
      <c r="Y39" s="3849"/>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45"/>
      <c r="Q40" s="612" t="str">
        <f t="shared" si="11"/>
        <v>房型</v>
      </c>
      <c r="R40" s="1600" t="s">
        <v>1477</v>
      </c>
      <c r="S40" s="1601">
        <f t="shared" si="12"/>
        <v>100</v>
      </c>
      <c r="T40" s="1600" t="s">
        <v>1477</v>
      </c>
      <c r="U40" s="1601">
        <f t="shared" si="13"/>
        <v>100</v>
      </c>
      <c r="V40" s="1600" t="s">
        <v>1477</v>
      </c>
      <c r="W40" s="1601">
        <f t="shared" si="14"/>
        <v>100</v>
      </c>
      <c r="X40" s="1595"/>
      <c r="Y40" s="3849"/>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45"/>
      <c r="Q41" s="1790" t="str">
        <f t="shared" si="11"/>
        <v>单套/主力户型建筑面积</v>
      </c>
      <c r="R41" s="1602" t="s">
        <v>1477</v>
      </c>
      <c r="S41" s="1603">
        <f t="shared" si="12"/>
        <v>100</v>
      </c>
      <c r="T41" s="1602" t="s">
        <v>1477</v>
      </c>
      <c r="U41" s="1603">
        <f t="shared" si="13"/>
        <v>100</v>
      </c>
      <c r="V41" s="1602" t="s">
        <v>1477</v>
      </c>
      <c r="W41" s="1603">
        <f t="shared" si="14"/>
        <v>100</v>
      </c>
      <c r="X41" s="1604"/>
      <c r="Y41" s="3849"/>
      <c r="Z41" s="1609" t="str">
        <f t="shared" si="18"/>
        <v>单套/主力户型建筑面积</v>
      </c>
      <c r="AA41" s="1584">
        <f t="shared" si="15"/>
        <v>1</v>
      </c>
      <c r="AB41" s="1584">
        <f t="shared" si="16"/>
        <v>1</v>
      </c>
      <c r="AC41" s="1584">
        <f t="shared" si="17"/>
        <v>1</v>
      </c>
    </row>
    <row r="42" spans="1:29" ht="15">
      <c r="A42" s="1473"/>
      <c r="B42" s="1422" t="s">
        <v>1522</v>
      </c>
      <c r="C42" s="1474" t="s">
        <v>3369</v>
      </c>
      <c r="D42" s="746">
        <v>100</v>
      </c>
      <c r="E42" s="1474" t="s">
        <v>3369</v>
      </c>
      <c r="F42" s="1579">
        <f>SUMIF(122:122,E42,123:123)-SUMIF(122:122,C42,123:123)+100</f>
        <v>100</v>
      </c>
      <c r="G42" s="1474" t="s">
        <v>3369</v>
      </c>
      <c r="H42" s="746">
        <f>SUMIF(122:122,G42,123:123)-SUMIF(122:122,C42,123:123)+100</f>
        <v>100</v>
      </c>
      <c r="I42" s="1474" t="s">
        <v>3369</v>
      </c>
      <c r="J42" s="746">
        <f>SUMIF(122:122,I42,123:123)-SUMIF(122:122,C42,123:123)+100</f>
        <v>100</v>
      </c>
      <c r="K42" s="1964">
        <v>2</v>
      </c>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8"/>
        <v>内部装修维护情况</v>
      </c>
      <c r="AA43" s="1584">
        <f t="shared" si="15"/>
        <v>1</v>
      </c>
      <c r="AB43" s="1584">
        <f t="shared" si="16"/>
        <v>1</v>
      </c>
      <c r="AC43" s="1584">
        <f t="shared" si="17"/>
        <v>1</v>
      </c>
    </row>
    <row r="44" spans="1:29" s="1381" customFormat="1" ht="15">
      <c r="A44" s="1475"/>
      <c r="B44" s="1659">
        <v>111</v>
      </c>
      <c r="C44" s="1952"/>
      <c r="D44" s="1424">
        <v>100</v>
      </c>
      <c r="E44" s="1760"/>
      <c r="F44" s="1422">
        <f>SUMIF(126:126,E44,127:127)-SUMIF(126:126,C44,127:127)+100</f>
        <v>100</v>
      </c>
      <c r="G44" s="1952"/>
      <c r="H44" s="1424">
        <f>SUMIF(126:126,G44,127:127)-SUMIF(126:126,C44,127:127)+100</f>
        <v>100</v>
      </c>
      <c r="I44" s="1760"/>
      <c r="J44" s="1424">
        <f>SUMIF(126:126,I44,127:127)-SUMIF(126:126,C44,127:127)+100</f>
        <v>100</v>
      </c>
      <c r="K44" s="1965"/>
      <c r="L44" s="1552"/>
      <c r="M44" s="1553"/>
      <c r="N44" s="1553"/>
      <c r="O44" s="1553"/>
      <c r="P44" s="3845"/>
      <c r="Q44" s="781">
        <f t="shared" si="11"/>
        <v>111</v>
      </c>
      <c r="R44" s="1596" t="s">
        <v>1477</v>
      </c>
      <c r="S44" s="1597">
        <f t="shared" si="12"/>
        <v>100</v>
      </c>
      <c r="T44" s="1596" t="s">
        <v>1477</v>
      </c>
      <c r="U44" s="1597">
        <f t="shared" si="13"/>
        <v>100</v>
      </c>
      <c r="V44" s="1596" t="s">
        <v>1477</v>
      </c>
      <c r="W44" s="1597">
        <f t="shared" si="14"/>
        <v>100</v>
      </c>
      <c r="X44" s="1598"/>
      <c r="Y44" s="3849"/>
      <c r="Z44" s="1608">
        <f t="shared" si="18"/>
        <v>111</v>
      </c>
      <c r="AA44" s="1608">
        <f t="shared" si="15"/>
        <v>1</v>
      </c>
      <c r="AB44" s="1608">
        <f t="shared" si="16"/>
        <v>1</v>
      </c>
      <c r="AC44" s="1608">
        <f t="shared" si="17"/>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ROUND(案例!R10,0)</f>
        <v>4795</v>
      </c>
      <c r="J47" s="1487"/>
      <c r="K47" s="1970"/>
      <c r="L47" s="1576"/>
      <c r="M47" s="1497"/>
      <c r="N47" s="1497"/>
      <c r="O47" s="1497"/>
      <c r="P47" s="3839" t="str">
        <f>A47</f>
        <v>成交单价（元/平方米）</v>
      </c>
      <c r="Q47" s="3839"/>
      <c r="R47" s="3840">
        <f>E47</f>
        <v>4406</v>
      </c>
      <c r="S47" s="3840"/>
      <c r="T47" s="3840">
        <f>G47</f>
        <v>4540</v>
      </c>
      <c r="U47" s="3840"/>
      <c r="V47" s="3840">
        <f>I47</f>
        <v>4795</v>
      </c>
      <c r="W47" s="3840"/>
      <c r="X47" s="1537"/>
      <c r="Y47" s="1610"/>
      <c r="Z47" s="1537"/>
      <c r="AA47" s="1537"/>
      <c r="AB47" s="1537"/>
      <c r="AC47" s="1537"/>
    </row>
    <row r="48" spans="1:29" ht="15">
      <c r="A48" s="1488" t="s">
        <v>1526</v>
      </c>
      <c r="B48" s="1775"/>
      <c r="C48" s="1776">
        <f>R49</f>
        <v>4487</v>
      </c>
      <c r="D48" s="1491" t="s">
        <v>1527</v>
      </c>
      <c r="E48" s="1777">
        <f>R48</f>
        <v>4376</v>
      </c>
      <c r="F48" s="1492"/>
      <c r="G48" s="1776">
        <f>T48</f>
        <v>4443</v>
      </c>
      <c r="H48" s="1492"/>
      <c r="I48" s="1777">
        <f>V48</f>
        <v>4643</v>
      </c>
      <c r="J48" s="1492"/>
      <c r="K48" s="1971">
        <f>F48+H48+J48</f>
        <v>0</v>
      </c>
      <c r="L48" s="1576"/>
      <c r="M48" s="1497"/>
      <c r="N48" s="1497"/>
      <c r="O48" s="1497"/>
      <c r="P48" s="3839" t="str">
        <f>A48</f>
        <v>比较价值（元/平方米）</v>
      </c>
      <c r="Q48" s="3839"/>
      <c r="R48" s="3840">
        <f>IF(F1="售价",ROUND(PRODUCT(R47,AA7:AA46),0),ROUND(PRODUCT(R47,AA7:AA46),1))</f>
        <v>4376</v>
      </c>
      <c r="S48" s="3840"/>
      <c r="T48" s="3840">
        <f>IF(F1="售价",ROUND(PRODUCT(T47,AB7:AB46),0),ROUND(PRODUCT(T47,AB7:AB46),1))</f>
        <v>4443</v>
      </c>
      <c r="U48" s="3840"/>
      <c r="V48" s="3840">
        <f>IF(F1="售价",ROUND(PRODUCT(V47,AC7:AC46),0),ROUND(PRODUCT(V47,AC7:AC46),1))</f>
        <v>4643</v>
      </c>
      <c r="W48" s="3840"/>
      <c r="X48" s="1537"/>
      <c r="Y48" s="1537"/>
      <c r="Z48" s="1537"/>
      <c r="AA48" s="1537"/>
      <c r="AB48" s="1537"/>
      <c r="AC48" s="1537"/>
    </row>
    <row r="49" spans="1:29" ht="15">
      <c r="A49" s="1494" t="s">
        <v>1528</v>
      </c>
      <c r="B49" s="1495"/>
      <c r="C49" s="1953">
        <f>R49</f>
        <v>4487</v>
      </c>
      <c r="D49" s="1407"/>
      <c r="E49" s="1407"/>
      <c r="F49" s="1407"/>
      <c r="G49" s="1407"/>
      <c r="H49" s="1407"/>
      <c r="I49" s="1407"/>
      <c r="J49" s="1407"/>
      <c r="K49" s="1972"/>
      <c r="L49" s="1576"/>
      <c r="M49" s="1497"/>
      <c r="N49" s="1497"/>
      <c r="O49" s="1497"/>
      <c r="P49" s="3851" t="str">
        <f>A49</f>
        <v>估价对象XX用房的比较价值（楼面单价，元/平方米）</v>
      </c>
      <c r="Q49" s="3852"/>
      <c r="R49" s="3853">
        <f>IF(F1="售价",ROUND(IF(D48="简单平均",AVERAGE(R48:V48),R48*F48+T48*H48+V48*J48),0),ROUND(IF(D48="简单平均",AVERAGE(R48:V48),R48*F48+T48*H48+V48*J48),1))</f>
        <v>4487</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6.8555758683730428E-3</v>
      </c>
      <c r="F52" s="1501" t="str">
        <f>IF(OR(E52&gt;=0.3,E52&lt;=-0.3),"超过30%","")</f>
        <v/>
      </c>
      <c r="G52" s="1500">
        <f>IF(G47&lt;G48,G48/G47-1,G47/G48-1)</f>
        <v>2.1832095431015164E-2</v>
      </c>
      <c r="H52" s="1501" t="str">
        <f>IF(OR(G52&gt;=0.3,G52&lt;=-0.3),"超过30%","")</f>
        <v/>
      </c>
      <c r="I52" s="1500">
        <f>IF(I47&lt;I48,I48/I47-1,I47/I48-1)</f>
        <v>3.2737454232177443E-2</v>
      </c>
      <c r="J52" s="1501" t="str">
        <f>IF(OR(I52&gt;=0.3,I52&lt;=-0.3),"超过30%","")</f>
        <v/>
      </c>
      <c r="K52" s="1580"/>
      <c r="L52" s="1581"/>
      <c r="M52" s="1497"/>
      <c r="N52" s="1497"/>
      <c r="O52" s="1497"/>
    </row>
    <row r="53" spans="1:29" ht="13.5" customHeight="1">
      <c r="A53" s="1497"/>
      <c r="B53" s="1497"/>
      <c r="C53" s="1499" t="s">
        <v>1530</v>
      </c>
      <c r="D53" s="653"/>
      <c r="E53" s="1500">
        <f>IF(E48&lt;G48,G48/E48-1,E48/G48-1)</f>
        <v>1.531078610603287E-2</v>
      </c>
      <c r="F53" s="1501" t="str">
        <f>IF(OR(E53&gt;=0.2,E53&lt;=-0.2),"超过20%","")</f>
        <v/>
      </c>
      <c r="G53" s="1500">
        <f>IF(G48&lt;I48,I48/G48-1,G48/I48-1)</f>
        <v>4.5014629754670299E-2</v>
      </c>
      <c r="H53" s="1501" t="str">
        <f>IF(OR(G53&gt;=0.2,G53&lt;=-0.2),"超过20%","")</f>
        <v/>
      </c>
      <c r="I53" s="1500">
        <f>IF(I48&lt;E48,E48/I48-1,I48/E48-1)</f>
        <v>6.1014625228519304E-2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5.6167400881057317E-2</v>
      </c>
      <c r="H54" s="1501" t="str">
        <f>IF(OR(G54&gt;=0.3,G54&lt;=-0.3),"超过30%","")</f>
        <v/>
      </c>
      <c r="I54" s="1500">
        <f>IF(I47&lt;E47,E47/I47-1,I47/E47-1)</f>
        <v>8.8288697231048596E-2</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2002-10</v>
      </c>
      <c r="D58" s="1782">
        <f>EDATE(C58,-1)</f>
        <v>37500</v>
      </c>
      <c r="E58" s="1782">
        <f>EDATE(D58,-1)</f>
        <v>37469</v>
      </c>
      <c r="F58" s="1782">
        <f t="shared" ref="F58:O58" si="19">EDATE(E58,-1)</f>
        <v>37438</v>
      </c>
      <c r="G58" s="1782">
        <f t="shared" si="19"/>
        <v>37408</v>
      </c>
      <c r="H58" s="1782">
        <f t="shared" si="19"/>
        <v>37377</v>
      </c>
      <c r="I58" s="1782">
        <f t="shared" si="19"/>
        <v>37347</v>
      </c>
      <c r="J58" s="1782">
        <f t="shared" si="19"/>
        <v>37316</v>
      </c>
      <c r="K58" s="1782">
        <f t="shared" si="19"/>
        <v>37288</v>
      </c>
      <c r="L58" s="1782">
        <f t="shared" si="19"/>
        <v>37257</v>
      </c>
      <c r="M58" s="1782">
        <f t="shared" si="19"/>
        <v>37226</v>
      </c>
      <c r="N58" s="1782">
        <f t="shared" si="19"/>
        <v>37196</v>
      </c>
      <c r="O58" s="1782">
        <f t="shared" si="19"/>
        <v>37165</v>
      </c>
      <c r="P58" s="1975">
        <f t="shared" ref="P58" si="20">EDATE(O58,-1)</f>
        <v>37135</v>
      </c>
      <c r="Q58" s="1975">
        <f t="shared" ref="Q58" si="21">EDATE(P58,-1)</f>
        <v>37104</v>
      </c>
      <c r="R58" s="1975">
        <f t="shared" ref="R58" si="22">EDATE(Q58,-1)</f>
        <v>37073</v>
      </c>
      <c r="S58" s="1975">
        <f t="shared" ref="S58" si="23">EDATE(R58,-1)</f>
        <v>37043</v>
      </c>
      <c r="T58" s="1975">
        <f t="shared" ref="T58" si="24">EDATE(S58,-1)</f>
        <v>37012</v>
      </c>
      <c r="U58" s="1975">
        <f t="shared" ref="U58" si="25">EDATE(T58,-1)</f>
        <v>36982</v>
      </c>
      <c r="V58" s="1975">
        <f t="shared" ref="V58" si="26">EDATE(U58,-1)</f>
        <v>36951</v>
      </c>
      <c r="W58" s="1975">
        <f t="shared" ref="W58" si="27">EDATE(V58,-1)</f>
        <v>36923</v>
      </c>
      <c r="X58" s="1975">
        <f t="shared" ref="X58" si="28">EDATE(W58,-1)</f>
        <v>36892</v>
      </c>
      <c r="Y58" s="1975">
        <f t="shared" ref="Y58" si="29">EDATE(X58,-1)</f>
        <v>36861</v>
      </c>
      <c r="Z58" s="1975">
        <f t="shared" ref="Z58" si="30">EDATE(Y58,-1)</f>
        <v>36831</v>
      </c>
      <c r="AA58" s="1975">
        <f t="shared" ref="AA58" si="31">EDATE(Z58,-1)</f>
        <v>36800</v>
      </c>
      <c r="AB58" s="1975">
        <f t="shared" ref="AB58" si="32">EDATE(AA58,-1)</f>
        <v>36770</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U59" si="33">I59-$C$60</f>
        <v>99.700000000000017</v>
      </c>
      <c r="K59" s="1902">
        <f>J59</f>
        <v>99.700000000000017</v>
      </c>
      <c r="L59" s="1902">
        <f>J59</f>
        <v>99.700000000000017</v>
      </c>
      <c r="M59" s="1902">
        <f t="shared" si="33"/>
        <v>99.600000000000023</v>
      </c>
      <c r="N59" s="1902">
        <f t="shared" si="33"/>
        <v>99.500000000000028</v>
      </c>
      <c r="O59" s="1902">
        <f t="shared" si="33"/>
        <v>99.400000000000034</v>
      </c>
      <c r="P59" s="1902">
        <f t="shared" si="33"/>
        <v>99.30000000000004</v>
      </c>
      <c r="Q59" s="1902">
        <f t="shared" si="33"/>
        <v>99.200000000000045</v>
      </c>
      <c r="R59" s="1902">
        <f t="shared" si="33"/>
        <v>99.100000000000051</v>
      </c>
      <c r="S59" s="1902">
        <f t="shared" si="33"/>
        <v>99.000000000000057</v>
      </c>
      <c r="T59" s="1902">
        <f t="shared" si="33"/>
        <v>98.900000000000063</v>
      </c>
      <c r="U59" s="1902">
        <f t="shared" si="33"/>
        <v>98.800000000000068</v>
      </c>
      <c r="V59" s="1381">
        <f>U59-C60</f>
        <v>98.700000000000074</v>
      </c>
      <c r="W59" s="1381">
        <f>V59</f>
        <v>98.700000000000074</v>
      </c>
      <c r="X59" s="1381">
        <f>V59</f>
        <v>98.700000000000074</v>
      </c>
      <c r="Y59" s="1381">
        <f>X59-C60</f>
        <v>98.60000000000008</v>
      </c>
      <c r="Z59" s="1381">
        <f>Y59</f>
        <v>98.60000000000008</v>
      </c>
      <c r="AA59" s="1381">
        <f>Y59</f>
        <v>98.60000000000008</v>
      </c>
      <c r="AB59" s="1381">
        <f>AA59-C60</f>
        <v>98.500000000000085</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4">D68&amp;"（含）"&amp;"-"&amp;E68</f>
        <v>1（含）-2</v>
      </c>
      <c r="E67" s="1635" t="str">
        <f t="shared" si="34"/>
        <v>2（含）-3</v>
      </c>
      <c r="F67" s="1635" t="str">
        <f t="shared" si="34"/>
        <v>3（含）-</v>
      </c>
      <c r="G67" s="1635" t="str">
        <f t="shared" si="34"/>
        <v>（含）-</v>
      </c>
      <c r="H67" s="1635" t="str">
        <f t="shared" si="34"/>
        <v>（含）-</v>
      </c>
      <c r="I67" s="1635" t="str">
        <f t="shared" si="34"/>
        <v>（含）-</v>
      </c>
      <c r="J67" s="1635" t="str">
        <f t="shared" si="34"/>
        <v>（含）-</v>
      </c>
      <c r="K67" s="1635" t="str">
        <f t="shared" si="34"/>
        <v>（含）-</v>
      </c>
      <c r="L67" s="1635" t="str">
        <f t="shared" si="34"/>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5">C69-$K11</f>
        <v>100</v>
      </c>
      <c r="E69" s="1633">
        <f t="shared" si="35"/>
        <v>100</v>
      </c>
      <c r="F69" s="1633">
        <f t="shared" si="35"/>
        <v>100</v>
      </c>
      <c r="G69" s="1633">
        <f t="shared" si="35"/>
        <v>100</v>
      </c>
      <c r="H69" s="1633">
        <f t="shared" si="35"/>
        <v>100</v>
      </c>
      <c r="I69" s="1633">
        <f t="shared" si="35"/>
        <v>100</v>
      </c>
      <c r="J69" s="1633">
        <f t="shared" si="35"/>
        <v>100</v>
      </c>
      <c r="K69" s="1633">
        <f t="shared" si="35"/>
        <v>100</v>
      </c>
      <c r="L69" s="1633">
        <f t="shared" si="35"/>
        <v>100</v>
      </c>
      <c r="M69" s="1675">
        <f t="shared" si="35"/>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6">D83-$K21</f>
        <v>100</v>
      </c>
      <c r="F83" s="1565">
        <f t="shared" si="36"/>
        <v>100</v>
      </c>
      <c r="G83" s="1565">
        <f t="shared" si="36"/>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7">$C$87-($C$86-D86)*$K$25</f>
        <v>100</v>
      </c>
      <c r="E87" s="1633">
        <f t="shared" si="37"/>
        <v>100</v>
      </c>
      <c r="F87" s="1633">
        <f t="shared" si="37"/>
        <v>100</v>
      </c>
      <c r="G87" s="1633">
        <f t="shared" si="37"/>
        <v>100</v>
      </c>
      <c r="H87" s="1633">
        <f t="shared" si="37"/>
        <v>100</v>
      </c>
      <c r="I87" s="1633">
        <f t="shared" si="37"/>
        <v>100</v>
      </c>
      <c r="J87" s="1633">
        <f t="shared" si="37"/>
        <v>100</v>
      </c>
      <c r="K87" s="1633">
        <f t="shared" si="37"/>
        <v>100</v>
      </c>
      <c r="L87" s="1633">
        <f t="shared" si="37"/>
        <v>100</v>
      </c>
      <c r="M87" s="1633">
        <f t="shared" si="37"/>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8">C89-$K26</f>
        <v>99.5</v>
      </c>
      <c r="E89" s="1633">
        <f t="shared" si="38"/>
        <v>99</v>
      </c>
      <c r="F89" s="1633">
        <f t="shared" si="38"/>
        <v>98.5</v>
      </c>
      <c r="G89" s="1633">
        <f t="shared" si="38"/>
        <v>98</v>
      </c>
      <c r="H89" s="1633">
        <f t="shared" si="38"/>
        <v>97.5</v>
      </c>
      <c r="I89" s="1633">
        <f t="shared" si="38"/>
        <v>97</v>
      </c>
      <c r="J89" s="1633">
        <f t="shared" si="38"/>
        <v>96.5</v>
      </c>
      <c r="K89" s="1633">
        <f t="shared" si="38"/>
        <v>96</v>
      </c>
      <c r="L89" s="1633">
        <f t="shared" si="38"/>
        <v>95.5</v>
      </c>
      <c r="M89" s="1633">
        <f t="shared" si="38"/>
        <v>95</v>
      </c>
      <c r="N89" s="1885"/>
      <c r="O89" s="1885"/>
      <c r="P89" s="1978"/>
      <c r="Q89" s="1878"/>
    </row>
    <row r="90" spans="1:17" s="1383" customFormat="1" ht="15">
      <c r="A90" s="1637"/>
      <c r="B90" s="1630" t="str">
        <f>B27</f>
        <v>楼层</v>
      </c>
      <c r="C90" s="1980" t="str">
        <f>C27</f>
        <v>6/6</v>
      </c>
      <c r="D90" s="1638" t="str">
        <f>E27</f>
        <v>4/22</v>
      </c>
      <c r="E90" s="1983" t="str">
        <f>G27</f>
        <v>9/22</v>
      </c>
      <c r="F90" s="1638" t="str">
        <f>I27</f>
        <v>15/22</v>
      </c>
      <c r="G90" s="1638"/>
      <c r="H90" s="1639"/>
      <c r="I90" s="1639"/>
      <c r="J90" s="1639"/>
      <c r="K90" s="1639"/>
      <c r="L90" s="1679"/>
      <c r="M90" s="1680"/>
      <c r="N90" s="1886"/>
      <c r="O90" s="1886"/>
      <c r="P90" s="1987"/>
      <c r="Q90" s="1888"/>
    </row>
    <row r="91" spans="1:17" s="1383" customFormat="1" ht="15">
      <c r="A91" s="1637"/>
      <c r="B91" s="1632"/>
      <c r="C91" s="1228">
        <v>97</v>
      </c>
      <c r="D91" s="1228">
        <v>100</v>
      </c>
      <c r="E91" s="1228">
        <v>101</v>
      </c>
      <c r="F91" s="1228">
        <v>102</v>
      </c>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39">C101-$K32</f>
        <v>99.5</v>
      </c>
      <c r="E101" s="1633">
        <f t="shared" si="39"/>
        <v>99</v>
      </c>
      <c r="F101" s="1633">
        <f t="shared" si="39"/>
        <v>98.5</v>
      </c>
      <c r="G101" s="1633">
        <f t="shared" si="39"/>
        <v>98</v>
      </c>
      <c r="H101" s="1633">
        <f t="shared" si="39"/>
        <v>97.5</v>
      </c>
      <c r="I101" s="1633">
        <f t="shared" si="39"/>
        <v>97</v>
      </c>
      <c r="J101" s="1633">
        <f t="shared" si="39"/>
        <v>96.5</v>
      </c>
      <c r="K101" s="1633">
        <f t="shared" si="39"/>
        <v>96</v>
      </c>
      <c r="L101" s="1633">
        <f t="shared" si="39"/>
        <v>95.5</v>
      </c>
      <c r="M101" s="1633">
        <f t="shared" si="39"/>
        <v>95</v>
      </c>
      <c r="N101" s="1885"/>
      <c r="O101" s="1885"/>
      <c r="P101" s="1978"/>
      <c r="Q101" s="1878"/>
    </row>
    <row r="102" spans="1:17" ht="15">
      <c r="A102" s="1425"/>
      <c r="B102" s="1630" t="s">
        <v>1509</v>
      </c>
      <c r="C102" s="1648" t="str">
        <f>C103&amp;"(含)"&amp;"-"&amp;D103</f>
        <v>0(含)-40</v>
      </c>
      <c r="D102" s="1648" t="str">
        <f t="shared" ref="D102:L102" si="40">D103&amp;"(含)"&amp;"-"&amp;E103</f>
        <v>40(含)-50</v>
      </c>
      <c r="E102" s="1648" t="str">
        <f t="shared" si="40"/>
        <v>50(含)-60</v>
      </c>
      <c r="F102" s="1648" t="str">
        <f t="shared" si="40"/>
        <v>60(含)-70</v>
      </c>
      <c r="G102" s="1648" t="str">
        <f t="shared" si="40"/>
        <v>70(含)-80</v>
      </c>
      <c r="H102" s="1648" t="str">
        <f t="shared" si="40"/>
        <v>80(含)-90</v>
      </c>
      <c r="I102" s="1648" t="str">
        <f t="shared" si="40"/>
        <v>90(含)-100</v>
      </c>
      <c r="J102" s="1648" t="str">
        <f t="shared" si="40"/>
        <v>100(含)-110</v>
      </c>
      <c r="K102" s="1648" t="str">
        <f t="shared" si="40"/>
        <v>110(含)-</v>
      </c>
      <c r="L102" s="1648" t="str">
        <f t="shared" si="40"/>
        <v>(含)-1</v>
      </c>
      <c r="M102" s="1648" t="str">
        <f>M103&amp;"(含)"&amp;"-"&amp;P103</f>
        <v>1(含)-</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c r="M103" s="1706">
        <v>1</v>
      </c>
      <c r="N103" s="1886"/>
      <c r="O103" s="1886"/>
      <c r="P103" s="1987"/>
      <c r="Q103" s="1888"/>
    </row>
    <row r="104" spans="1:17" s="1383" customFormat="1" ht="15">
      <c r="A104" s="1637"/>
      <c r="B104" s="1632"/>
      <c r="C104" s="1992">
        <f t="shared" ref="C104:I104" si="41">D104+$M$103</f>
        <v>107</v>
      </c>
      <c r="D104" s="1992">
        <f t="shared" si="41"/>
        <v>106</v>
      </c>
      <c r="E104" s="1992">
        <f t="shared" si="41"/>
        <v>105</v>
      </c>
      <c r="F104" s="1992">
        <f t="shared" si="41"/>
        <v>104</v>
      </c>
      <c r="G104" s="1992">
        <f t="shared" si="41"/>
        <v>103</v>
      </c>
      <c r="H104" s="1992">
        <f t="shared" si="41"/>
        <v>102</v>
      </c>
      <c r="I104" s="1992">
        <f t="shared" si="41"/>
        <v>101</v>
      </c>
      <c r="J104" s="1629">
        <v>100</v>
      </c>
      <c r="K104" s="1629">
        <f>J104-$M$103</f>
        <v>99</v>
      </c>
      <c r="L104" s="1629"/>
      <c r="M104" s="1629"/>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2">C106-$K34</f>
        <v>99.5</v>
      </c>
      <c r="E106" s="1633">
        <f t="shared" si="42"/>
        <v>99</v>
      </c>
      <c r="F106" s="1633">
        <f t="shared" si="42"/>
        <v>98.5</v>
      </c>
      <c r="G106" s="1633">
        <f t="shared" si="42"/>
        <v>98</v>
      </c>
      <c r="H106" s="1633">
        <f t="shared" si="42"/>
        <v>97.5</v>
      </c>
      <c r="I106" s="1633">
        <f t="shared" si="42"/>
        <v>97</v>
      </c>
      <c r="J106" s="1633">
        <f t="shared" si="42"/>
        <v>96.5</v>
      </c>
      <c r="K106" s="1633">
        <f t="shared" si="42"/>
        <v>96</v>
      </c>
      <c r="L106" s="1633">
        <f t="shared" si="42"/>
        <v>95.5</v>
      </c>
      <c r="M106" s="1633">
        <f t="shared" si="42"/>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3">C108-$K35</f>
        <v>97</v>
      </c>
      <c r="E108" s="1633">
        <f t="shared" si="43"/>
        <v>94</v>
      </c>
      <c r="F108" s="1633">
        <f t="shared" si="43"/>
        <v>91</v>
      </c>
      <c r="G108" s="1633">
        <f t="shared" si="43"/>
        <v>88</v>
      </c>
      <c r="H108" s="1633">
        <f t="shared" si="43"/>
        <v>85</v>
      </c>
      <c r="I108" s="1633">
        <f t="shared" si="43"/>
        <v>82</v>
      </c>
      <c r="J108" s="1633">
        <f t="shared" si="43"/>
        <v>79</v>
      </c>
      <c r="K108" s="1633">
        <f t="shared" si="43"/>
        <v>76</v>
      </c>
      <c r="L108" s="1633">
        <f t="shared" si="43"/>
        <v>73</v>
      </c>
      <c r="M108" s="1633">
        <f t="shared" si="43"/>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4">C110-$K36</f>
        <v>100</v>
      </c>
      <c r="E110" s="1633">
        <f t="shared" si="44"/>
        <v>100</v>
      </c>
      <c r="F110" s="1633">
        <f t="shared" si="44"/>
        <v>100</v>
      </c>
      <c r="G110" s="1633">
        <f t="shared" si="44"/>
        <v>100</v>
      </c>
      <c r="H110" s="1633">
        <f t="shared" si="44"/>
        <v>100</v>
      </c>
      <c r="I110" s="1633">
        <f t="shared" si="44"/>
        <v>100</v>
      </c>
      <c r="J110" s="1633">
        <f t="shared" si="44"/>
        <v>100</v>
      </c>
      <c r="K110" s="1633">
        <f t="shared" si="44"/>
        <v>100</v>
      </c>
      <c r="L110" s="1633">
        <f t="shared" si="44"/>
        <v>100</v>
      </c>
      <c r="M110" s="1633">
        <f t="shared" si="44"/>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5">C115-$K38</f>
        <v>99</v>
      </c>
      <c r="E115" s="1633">
        <f t="shared" si="45"/>
        <v>98</v>
      </c>
      <c r="F115" s="1633">
        <f t="shared" si="45"/>
        <v>97</v>
      </c>
      <c r="G115" s="1633">
        <f t="shared" si="45"/>
        <v>96</v>
      </c>
      <c r="H115" s="1633">
        <f t="shared" si="45"/>
        <v>95</v>
      </c>
      <c r="I115" s="1633">
        <f t="shared" si="45"/>
        <v>94</v>
      </c>
      <c r="J115" s="1633">
        <f t="shared" si="45"/>
        <v>93</v>
      </c>
      <c r="K115" s="1633">
        <f t="shared" si="45"/>
        <v>92</v>
      </c>
      <c r="L115" s="1633">
        <f t="shared" si="45"/>
        <v>91</v>
      </c>
      <c r="M115" s="1633">
        <f t="shared" si="45"/>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6">C119-$K40</f>
        <v>100</v>
      </c>
      <c r="E119" s="1633">
        <f t="shared" si="46"/>
        <v>100</v>
      </c>
      <c r="F119" s="1633">
        <f t="shared" si="46"/>
        <v>100</v>
      </c>
      <c r="G119" s="1633">
        <f t="shared" si="46"/>
        <v>100</v>
      </c>
      <c r="H119" s="1633">
        <f t="shared" si="46"/>
        <v>100</v>
      </c>
      <c r="I119" s="1633">
        <f t="shared" si="46"/>
        <v>100</v>
      </c>
      <c r="J119" s="1633">
        <f t="shared" si="46"/>
        <v>100</v>
      </c>
      <c r="K119" s="1633">
        <f t="shared" si="46"/>
        <v>100</v>
      </c>
      <c r="L119" s="1633">
        <f t="shared" si="46"/>
        <v>100</v>
      </c>
      <c r="M119" s="1633">
        <f t="shared" si="46"/>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3370</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47">C123-$K42</f>
        <v>98</v>
      </c>
      <c r="E123" s="1633">
        <f t="shared" si="47"/>
        <v>96</v>
      </c>
      <c r="F123" s="1633">
        <f t="shared" si="47"/>
        <v>94</v>
      </c>
      <c r="G123" s="1633">
        <f t="shared" si="47"/>
        <v>92</v>
      </c>
      <c r="H123" s="1633">
        <f t="shared" si="47"/>
        <v>90</v>
      </c>
      <c r="I123" s="1633">
        <f t="shared" si="47"/>
        <v>88</v>
      </c>
      <c r="J123" s="1633">
        <f t="shared" si="47"/>
        <v>86</v>
      </c>
      <c r="K123" s="1633">
        <f t="shared" si="47"/>
        <v>84</v>
      </c>
      <c r="L123" s="1633">
        <f t="shared" si="47"/>
        <v>82</v>
      </c>
      <c r="M123" s="1633">
        <f t="shared" si="47"/>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f>B44</f>
        <v>111</v>
      </c>
      <c r="C126" s="1980">
        <f>C44</f>
        <v>0</v>
      </c>
      <c r="D126" s="1980">
        <f>G44</f>
        <v>0</v>
      </c>
      <c r="E126" s="1638">
        <f>E44</f>
        <v>0</v>
      </c>
      <c r="F126" s="1638">
        <f>I44</f>
        <v>0</v>
      </c>
      <c r="G126" s="1638"/>
      <c r="H126" s="1639"/>
      <c r="I126" s="1639">
        <v>4</v>
      </c>
      <c r="J126" s="1639"/>
      <c r="K126" s="1639"/>
      <c r="L126" s="1679"/>
      <c r="M126" s="1680"/>
      <c r="N126" s="1886"/>
      <c r="O126" s="1886"/>
      <c r="P126" s="1987"/>
      <c r="Q126" s="1888"/>
    </row>
    <row r="127" spans="1:17" s="1383" customFormat="1" ht="15">
      <c r="A127" s="1637"/>
      <c r="B127" s="1632"/>
      <c r="C127" s="1640">
        <v>100</v>
      </c>
      <c r="D127" s="1629">
        <f>C127-$I$126</f>
        <v>96</v>
      </c>
      <c r="E127" s="1629">
        <f>D127-$I$126</f>
        <v>92</v>
      </c>
      <c r="F127" s="1629">
        <f t="shared" ref="F127" si="48">E127-$I$126</f>
        <v>88</v>
      </c>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40"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40"/>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40"/>
      <c r="AC6" s="3856"/>
    </row>
    <row r="7" spans="1:29" s="1381" customFormat="1" ht="15">
      <c r="A7" s="1409" t="s">
        <v>1475</v>
      </c>
      <c r="B7" s="1410"/>
      <c r="C7" s="1411">
        <f>'数据-取费表'!B2</f>
        <v>37533</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41"/>
      <c r="Q11" s="781" t="str">
        <f t="shared" si="6"/>
        <v>容积率</v>
      </c>
      <c r="R11" s="1596" t="s">
        <v>1477</v>
      </c>
      <c r="S11" s="1597" t="e">
        <f t="shared" si="0"/>
        <v>#N/A</v>
      </c>
      <c r="T11" s="1596" t="s">
        <v>1477</v>
      </c>
      <c r="U11" s="1597" t="e">
        <f t="shared" si="1"/>
        <v>#N/A</v>
      </c>
      <c r="V11" s="1596" t="s">
        <v>1477</v>
      </c>
      <c r="W11" s="1597" t="e">
        <f t="shared" si="2"/>
        <v>#N/A</v>
      </c>
      <c r="X11" s="1598"/>
      <c r="Y11" s="3793"/>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42" t="s">
        <v>1489</v>
      </c>
      <c r="Q15" s="612" t="str">
        <f t="shared" si="6"/>
        <v>商业繁华度</v>
      </c>
      <c r="R15" s="1600" t="s">
        <v>1477</v>
      </c>
      <c r="S15" s="1601">
        <f t="shared" si="0"/>
        <v>100</v>
      </c>
      <c r="T15" s="1600" t="s">
        <v>1477</v>
      </c>
      <c r="U15" s="1601">
        <f t="shared" si="1"/>
        <v>100</v>
      </c>
      <c r="V15" s="1600" t="s">
        <v>1477</v>
      </c>
      <c r="W15" s="1601">
        <f t="shared" si="2"/>
        <v>100</v>
      </c>
      <c r="X15" s="1595"/>
      <c r="Y15" s="3847"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43"/>
      <c r="Q25" s="612" t="str">
        <f t="shared" ref="Q25:Q46" si="11">B25</f>
        <v>临街状况</v>
      </c>
      <c r="R25" s="1600" t="s">
        <v>1477</v>
      </c>
      <c r="S25" s="1601">
        <f>F25</f>
        <v>100</v>
      </c>
      <c r="T25" s="1600" t="s">
        <v>1477</v>
      </c>
      <c r="U25" s="1601">
        <f>H25</f>
        <v>100</v>
      </c>
      <c r="V25" s="1600" t="s">
        <v>1477</v>
      </c>
      <c r="W25" s="1601">
        <f>J25</f>
        <v>100</v>
      </c>
      <c r="X25" s="1595"/>
      <c r="Y25" s="3848"/>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43"/>
      <c r="Q26" s="612" t="str">
        <f t="shared" si="11"/>
        <v>平面位置/可视性</v>
      </c>
      <c r="R26" s="1600" t="s">
        <v>1477</v>
      </c>
      <c r="S26" s="1601">
        <f>F26</f>
        <v>100</v>
      </c>
      <c r="T26" s="1600" t="s">
        <v>1477</v>
      </c>
      <c r="U26" s="1601">
        <f>H26</f>
        <v>100</v>
      </c>
      <c r="V26" s="1600" t="s">
        <v>1477</v>
      </c>
      <c r="W26" s="1601">
        <f>J26</f>
        <v>100</v>
      </c>
      <c r="X26" s="1595"/>
      <c r="Y26" s="3848"/>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43"/>
      <c r="Q27" s="781" t="str">
        <f t="shared" si="11"/>
        <v>人流量</v>
      </c>
      <c r="R27" s="1596" t="s">
        <v>1477</v>
      </c>
      <c r="S27" s="1597">
        <f>F27</f>
        <v>100</v>
      </c>
      <c r="T27" s="1596" t="s">
        <v>1477</v>
      </c>
      <c r="U27" s="1597">
        <f>H27</f>
        <v>100</v>
      </c>
      <c r="V27" s="1596" t="s">
        <v>1477</v>
      </c>
      <c r="W27" s="1597">
        <f>J27</f>
        <v>100</v>
      </c>
      <c r="X27" s="1598"/>
      <c r="Y27" s="3848"/>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43"/>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48"/>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44" t="s">
        <v>1508</v>
      </c>
      <c r="Q32" s="612" t="str">
        <f t="shared" si="11"/>
        <v>商业类型</v>
      </c>
      <c r="R32" s="1600" t="s">
        <v>1477</v>
      </c>
      <c r="S32" s="1601">
        <f t="shared" si="12"/>
        <v>100</v>
      </c>
      <c r="T32" s="1600" t="s">
        <v>1477</v>
      </c>
      <c r="U32" s="1601">
        <f t="shared" si="13"/>
        <v>100</v>
      </c>
      <c r="V32" s="1600" t="s">
        <v>1477</v>
      </c>
      <c r="W32" s="1601">
        <f t="shared" si="14"/>
        <v>100</v>
      </c>
      <c r="X32" s="1595"/>
      <c r="Y32" s="3849"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45"/>
      <c r="Q33" s="1790" t="str">
        <f t="shared" si="11"/>
        <v>项目建筑规模</v>
      </c>
      <c r="R33" s="1602" t="s">
        <v>1477</v>
      </c>
      <c r="S33" s="1603" t="e">
        <f t="shared" si="12"/>
        <v>#N/A</v>
      </c>
      <c r="T33" s="1602" t="s">
        <v>1477</v>
      </c>
      <c r="U33" s="1603" t="e">
        <f t="shared" si="13"/>
        <v>#N/A</v>
      </c>
      <c r="V33" s="1602" t="s">
        <v>1477</v>
      </c>
      <c r="W33" s="1603" t="e">
        <f t="shared" si="14"/>
        <v>#N/A</v>
      </c>
      <c r="X33" s="1604"/>
      <c r="Y33" s="3849"/>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45"/>
      <c r="Q34" s="612" t="str">
        <f t="shared" si="11"/>
        <v>建筑结构</v>
      </c>
      <c r="R34" s="1600" t="s">
        <v>1477</v>
      </c>
      <c r="S34" s="1601">
        <f t="shared" si="12"/>
        <v>100</v>
      </c>
      <c r="T34" s="1600" t="s">
        <v>1477</v>
      </c>
      <c r="U34" s="1601">
        <f t="shared" si="13"/>
        <v>100</v>
      </c>
      <c r="V34" s="1600" t="s">
        <v>1477</v>
      </c>
      <c r="W34" s="1601">
        <f t="shared" si="14"/>
        <v>100</v>
      </c>
      <c r="X34" s="1595"/>
      <c r="Y34" s="3849"/>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45"/>
      <c r="Q35" s="612" t="str">
        <f t="shared" si="11"/>
        <v>公共部分装修</v>
      </c>
      <c r="R35" s="1600" t="s">
        <v>1477</v>
      </c>
      <c r="S35" s="1601">
        <f t="shared" si="12"/>
        <v>100</v>
      </c>
      <c r="T35" s="1600" t="s">
        <v>1477</v>
      </c>
      <c r="U35" s="1601">
        <f t="shared" si="13"/>
        <v>100</v>
      </c>
      <c r="V35" s="1600" t="s">
        <v>1477</v>
      </c>
      <c r="W35" s="1601">
        <f t="shared" si="14"/>
        <v>100</v>
      </c>
      <c r="X35" s="1595"/>
      <c r="Y35" s="3849"/>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45"/>
      <c r="Q36" s="612" t="str">
        <f t="shared" si="11"/>
        <v>成新度</v>
      </c>
      <c r="R36" s="1600" t="s">
        <v>1477</v>
      </c>
      <c r="S36" s="1601" t="e">
        <f t="shared" si="12"/>
        <v>#N/A</v>
      </c>
      <c r="T36" s="1600" t="s">
        <v>1477</v>
      </c>
      <c r="U36" s="1601" t="e">
        <f t="shared" si="13"/>
        <v>#N/A</v>
      </c>
      <c r="V36" s="1600" t="s">
        <v>1477</v>
      </c>
      <c r="W36" s="1601" t="e">
        <f t="shared" si="14"/>
        <v>#N/A</v>
      </c>
      <c r="X36" s="1595"/>
      <c r="Y36" s="3849"/>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45"/>
      <c r="Q37" s="781" t="str">
        <f t="shared" si="11"/>
        <v>市政基础设施</v>
      </c>
      <c r="R37" s="1596" t="s">
        <v>1477</v>
      </c>
      <c r="S37" s="1597">
        <f t="shared" si="12"/>
        <v>100</v>
      </c>
      <c r="T37" s="1596" t="s">
        <v>1477</v>
      </c>
      <c r="U37" s="1597">
        <f t="shared" si="13"/>
        <v>100</v>
      </c>
      <c r="V37" s="1596" t="s">
        <v>1477</v>
      </c>
      <c r="W37" s="1597">
        <f t="shared" si="14"/>
        <v>100</v>
      </c>
      <c r="X37" s="1598"/>
      <c r="Y37" s="3849"/>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45" t="s">
        <v>1508</v>
      </c>
      <c r="Q38" s="612" t="str">
        <f t="shared" si="11"/>
        <v>业态</v>
      </c>
      <c r="R38" s="1600" t="s">
        <v>1477</v>
      </c>
      <c r="S38" s="1601">
        <f t="shared" si="12"/>
        <v>100</v>
      </c>
      <c r="T38" s="1600" t="s">
        <v>1477</v>
      </c>
      <c r="U38" s="1601">
        <f t="shared" si="13"/>
        <v>100</v>
      </c>
      <c r="V38" s="1600" t="s">
        <v>1477</v>
      </c>
      <c r="W38" s="1601">
        <f t="shared" si="14"/>
        <v>100</v>
      </c>
      <c r="X38" s="1595"/>
      <c r="Y38" s="3849"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45"/>
      <c r="Q39" s="612" t="str">
        <f t="shared" si="11"/>
        <v>层高</v>
      </c>
      <c r="R39" s="1600" t="s">
        <v>1477</v>
      </c>
      <c r="S39" s="1601">
        <f t="shared" si="12"/>
        <v>100</v>
      </c>
      <c r="T39" s="1600" t="s">
        <v>1477</v>
      </c>
      <c r="U39" s="1601">
        <f t="shared" si="13"/>
        <v>100</v>
      </c>
      <c r="V39" s="1600" t="s">
        <v>1477</v>
      </c>
      <c r="W39" s="1601">
        <f t="shared" si="14"/>
        <v>100</v>
      </c>
      <c r="X39" s="1595"/>
      <c r="Y39" s="3849"/>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45"/>
      <c r="Q40" s="612" t="str">
        <f t="shared" si="11"/>
        <v>单套建筑面积</v>
      </c>
      <c r="R40" s="1600" t="s">
        <v>1477</v>
      </c>
      <c r="S40" s="1601">
        <f t="shared" si="12"/>
        <v>100</v>
      </c>
      <c r="T40" s="1600" t="s">
        <v>1477</v>
      </c>
      <c r="U40" s="1601">
        <f t="shared" si="13"/>
        <v>100</v>
      </c>
      <c r="V40" s="1600" t="s">
        <v>1477</v>
      </c>
      <c r="W40" s="1601">
        <f t="shared" si="14"/>
        <v>100</v>
      </c>
      <c r="X40" s="1595"/>
      <c r="Y40" s="3849"/>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45"/>
      <c r="Q41" s="1790" t="str">
        <f t="shared" si="11"/>
        <v>进深比</v>
      </c>
      <c r="R41" s="1602" t="s">
        <v>1477</v>
      </c>
      <c r="S41" s="1603">
        <f t="shared" si="12"/>
        <v>100</v>
      </c>
      <c r="T41" s="1602" t="s">
        <v>1477</v>
      </c>
      <c r="U41" s="1603">
        <f t="shared" si="13"/>
        <v>100</v>
      </c>
      <c r="V41" s="1602" t="s">
        <v>1477</v>
      </c>
      <c r="W41" s="1603">
        <f t="shared" si="14"/>
        <v>100</v>
      </c>
      <c r="X41" s="1604"/>
      <c r="Y41" s="3849"/>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45"/>
      <c r="Q44" s="781">
        <f t="shared" si="11"/>
        <v>111</v>
      </c>
      <c r="R44" s="1596" t="s">
        <v>1477</v>
      </c>
      <c r="S44" s="1597">
        <f t="shared" si="12"/>
        <v>100</v>
      </c>
      <c r="T44" s="1596" t="s">
        <v>1477</v>
      </c>
      <c r="U44" s="1597">
        <f t="shared" si="13"/>
        <v>100</v>
      </c>
      <c r="V44" s="1596" t="s">
        <v>1477</v>
      </c>
      <c r="W44" s="1597">
        <f t="shared" si="14"/>
        <v>100</v>
      </c>
      <c r="X44" s="1598"/>
      <c r="Y44" s="3849"/>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39" t="str">
        <f>A47</f>
        <v>成交单价（元/平方米）</v>
      </c>
      <c r="Q47" s="3839"/>
      <c r="R47" s="3840">
        <f>E47</f>
        <v>0</v>
      </c>
      <c r="S47" s="3840"/>
      <c r="T47" s="3840">
        <f>G47</f>
        <v>0</v>
      </c>
      <c r="U47" s="3840"/>
      <c r="V47" s="3840">
        <f>I47</f>
        <v>0</v>
      </c>
      <c r="W47" s="3840"/>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39" t="str">
        <f>A48</f>
        <v>比较价值（元/平方米）</v>
      </c>
      <c r="Q48" s="3839"/>
      <c r="R48" s="3840" t="e">
        <f>IF(F1="售价",ROUND(PRODUCT(R47,AA7:AA46),0),ROUND(PRODUCT(R47,AA7:AA46),1))</f>
        <v>#DIV/0!</v>
      </c>
      <c r="S48" s="3840"/>
      <c r="T48" s="3840" t="e">
        <f>IF(F1="售价",ROUND(PRODUCT(T47,AB7:AB46),0),ROUND(PRODUCT(T47,AB7:AB46),1))</f>
        <v>#DIV/0!</v>
      </c>
      <c r="U48" s="3840"/>
      <c r="V48" s="3840" t="e">
        <f>IF(F1="售价",ROUND(PRODUCT(V47,AC7:AC46),0),ROUND(PRODUCT(V47,AC7:AC46),1))</f>
        <v>#DIV/0!</v>
      </c>
      <c r="W48" s="3840"/>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51" t="str">
        <f>A49</f>
        <v>估价对象XX用房的比较价值（楼面单价，元/平方米）</v>
      </c>
      <c r="Q49" s="3852"/>
      <c r="R49" s="3853" t="e">
        <f>IF(F1="售价",ROUND(IF(D48="简单平均",AVERAGE(R48:V48),R48*F48+T48*H48+V48*J48),0),ROUND(IF(D48="简单平均",AVERAGE(R48:V48),R48*F48+T48*H48+V48*J48),1))</f>
        <v>#DIV/0!</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2002-10</v>
      </c>
      <c r="D58" s="1782">
        <f>EDATE(C58,-1)</f>
        <v>37500</v>
      </c>
      <c r="E58" s="1782">
        <f t="shared" ref="E58:O58" si="16">EDATE(D58,-1)</f>
        <v>37469</v>
      </c>
      <c r="F58" s="1782">
        <f t="shared" si="16"/>
        <v>37438</v>
      </c>
      <c r="G58" s="1782">
        <f t="shared" si="16"/>
        <v>37408</v>
      </c>
      <c r="H58" s="1782">
        <f t="shared" si="16"/>
        <v>37377</v>
      </c>
      <c r="I58" s="1782">
        <f t="shared" si="16"/>
        <v>37347</v>
      </c>
      <c r="J58" s="1782">
        <f t="shared" si="16"/>
        <v>37316</v>
      </c>
      <c r="K58" s="1782">
        <f t="shared" si="16"/>
        <v>37288</v>
      </c>
      <c r="L58" s="1782">
        <f t="shared" si="16"/>
        <v>37257</v>
      </c>
      <c r="M58" s="1782">
        <f t="shared" si="16"/>
        <v>37226</v>
      </c>
      <c r="N58" s="1782">
        <f t="shared" si="16"/>
        <v>37196</v>
      </c>
      <c r="O58" s="1782">
        <f t="shared" si="16"/>
        <v>37165</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79" t="s">
        <v>1472</v>
      </c>
      <c r="Q4" s="3880"/>
      <c r="R4" s="3883" t="s">
        <v>1468</v>
      </c>
      <c r="S4" s="3884"/>
      <c r="T4" s="3883" t="s">
        <v>1469</v>
      </c>
      <c r="U4" s="3884"/>
      <c r="V4" s="3885" t="s">
        <v>1470</v>
      </c>
      <c r="W4" s="3885"/>
      <c r="X4" s="1903"/>
      <c r="Y4" s="3883" t="s">
        <v>1472</v>
      </c>
      <c r="Z4" s="3884"/>
      <c r="AA4" s="3875" t="s">
        <v>1468</v>
      </c>
      <c r="AB4" s="3875" t="s">
        <v>1469</v>
      </c>
      <c r="AC4" s="3876" t="s">
        <v>1470</v>
      </c>
    </row>
    <row r="5" spans="1:29" ht="15">
      <c r="A5" s="1404"/>
      <c r="B5" s="1405"/>
      <c r="C5" s="3869" t="s">
        <v>1583</v>
      </c>
      <c r="D5" s="3828"/>
      <c r="E5" s="3870" t="s">
        <v>1584</v>
      </c>
      <c r="F5" s="3830"/>
      <c r="G5" s="3869" t="s">
        <v>1585</v>
      </c>
      <c r="H5" s="3828"/>
      <c r="I5" s="3869" t="s">
        <v>1586</v>
      </c>
      <c r="J5" s="3828"/>
      <c r="K5" s="1546"/>
      <c r="L5" s="1547"/>
      <c r="M5" s="1497"/>
      <c r="N5" s="1497"/>
      <c r="O5" s="1497"/>
      <c r="P5" s="3881"/>
      <c r="Q5" s="3860"/>
      <c r="R5" s="3865"/>
      <c r="S5" s="3866"/>
      <c r="T5" s="3865"/>
      <c r="U5" s="3866"/>
      <c r="V5" s="3840"/>
      <c r="W5" s="3840"/>
      <c r="X5" s="1595"/>
      <c r="Y5" s="3865"/>
      <c r="Z5" s="3866"/>
      <c r="AA5" s="3855"/>
      <c r="AB5" s="3855"/>
      <c r="AC5" s="3877"/>
    </row>
    <row r="6" spans="1:29" ht="15">
      <c r="A6" s="1406"/>
      <c r="B6" s="1407"/>
      <c r="C6" s="3832" t="s">
        <v>1473</v>
      </c>
      <c r="D6" s="3833"/>
      <c r="E6" s="3834" t="s">
        <v>1473</v>
      </c>
      <c r="F6" s="3835"/>
      <c r="G6" s="3832" t="s">
        <v>1473</v>
      </c>
      <c r="H6" s="3833"/>
      <c r="I6" s="3832" t="s">
        <v>1473</v>
      </c>
      <c r="J6" s="3833"/>
      <c r="K6" s="1546" t="s">
        <v>1474</v>
      </c>
      <c r="L6" s="1547"/>
      <c r="M6" s="1497"/>
      <c r="N6" s="1497"/>
      <c r="O6" s="1497"/>
      <c r="P6" s="3882"/>
      <c r="Q6" s="3862"/>
      <c r="R6" s="3865"/>
      <c r="S6" s="3866"/>
      <c r="T6" s="3867"/>
      <c r="U6" s="3868"/>
      <c r="V6" s="3840"/>
      <c r="W6" s="3840"/>
      <c r="X6" s="1595"/>
      <c r="Y6" s="3867"/>
      <c r="Z6" s="3868"/>
      <c r="AA6" s="3856"/>
      <c r="AB6" s="3856"/>
      <c r="AC6" s="3878"/>
    </row>
    <row r="7" spans="1:29" s="1381" customFormat="1" ht="15">
      <c r="A7" s="1409" t="s">
        <v>1475</v>
      </c>
      <c r="B7" s="1410"/>
      <c r="C7" s="1411">
        <f>'数据-取费表'!B2</f>
        <v>37533</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871"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871" t="s">
        <v>1480</v>
      </c>
      <c r="Q8" s="3838"/>
      <c r="R8" s="1596" t="s">
        <v>1477</v>
      </c>
      <c r="S8" s="1597">
        <f t="shared" si="0"/>
        <v>100</v>
      </c>
      <c r="T8" s="1596" t="s">
        <v>1477</v>
      </c>
      <c r="U8" s="1597">
        <f t="shared" si="1"/>
        <v>100</v>
      </c>
      <c r="V8" s="1596" t="s">
        <v>1477</v>
      </c>
      <c r="W8" s="1597">
        <f t="shared" si="2"/>
        <v>100</v>
      </c>
      <c r="X8" s="1598"/>
      <c r="Y8" s="3836" t="s">
        <v>1480</v>
      </c>
      <c r="Z8" s="3838"/>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93"/>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42" t="s">
        <v>1489</v>
      </c>
      <c r="Q15" s="612" t="str">
        <f t="shared" si="6"/>
        <v>办公集聚程度</v>
      </c>
      <c r="R15" s="1600" t="s">
        <v>1477</v>
      </c>
      <c r="S15" s="1601">
        <f t="shared" si="0"/>
        <v>100</v>
      </c>
      <c r="T15" s="1600" t="s">
        <v>1477</v>
      </c>
      <c r="U15" s="1601">
        <f t="shared" si="1"/>
        <v>100</v>
      </c>
      <c r="V15" s="1600" t="s">
        <v>1477</v>
      </c>
      <c r="W15" s="1601">
        <f t="shared" si="2"/>
        <v>100</v>
      </c>
      <c r="X15" s="1595"/>
      <c r="Y15" s="3847"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43"/>
      <c r="Q22" s="612"/>
      <c r="R22" s="1600"/>
      <c r="S22" s="1601"/>
      <c r="T22" s="1600"/>
      <c r="U22" s="1601"/>
      <c r="V22" s="1600"/>
      <c r="W22" s="1601"/>
      <c r="X22" s="1595"/>
      <c r="Y22" s="3848"/>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43"/>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43"/>
      <c r="Q25" s="612" t="str">
        <f>B25</f>
        <v>毗邻道路的类型与等级</v>
      </c>
      <c r="R25" s="1600" t="s">
        <v>1477</v>
      </c>
      <c r="S25" s="1601">
        <f>F25</f>
        <v>100</v>
      </c>
      <c r="T25" s="1600" t="s">
        <v>1477</v>
      </c>
      <c r="U25" s="1601">
        <f>H25</f>
        <v>100</v>
      </c>
      <c r="V25" s="1600" t="s">
        <v>1477</v>
      </c>
      <c r="W25" s="1601">
        <f>J25</f>
        <v>100</v>
      </c>
      <c r="X25" s="1595"/>
      <c r="Y25" s="3848"/>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43"/>
      <c r="Q26" s="612"/>
      <c r="R26" s="1600"/>
      <c r="S26" s="1601"/>
      <c r="T26" s="1600"/>
      <c r="U26" s="1601"/>
      <c r="V26" s="1600"/>
      <c r="W26" s="1601"/>
      <c r="X26" s="1595"/>
      <c r="Y26" s="3848"/>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43"/>
      <c r="Q27" s="612" t="str">
        <f t="shared" ref="Q27:Q47" si="11">B27</f>
        <v>楼层</v>
      </c>
      <c r="R27" s="1600" t="s">
        <v>1477</v>
      </c>
      <c r="S27" s="1601">
        <f>F27</f>
        <v>100</v>
      </c>
      <c r="T27" s="1600" t="s">
        <v>1477</v>
      </c>
      <c r="U27" s="1601">
        <f>H27</f>
        <v>100</v>
      </c>
      <c r="V27" s="1600" t="s">
        <v>1477</v>
      </c>
      <c r="W27" s="1601">
        <f>J27</f>
        <v>100</v>
      </c>
      <c r="X27" s="1595"/>
      <c r="Y27" s="3848"/>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43"/>
      <c r="Q28" s="781" t="str">
        <f t="shared" si="11"/>
        <v>朝向</v>
      </c>
      <c r="R28" s="1596" t="s">
        <v>1477</v>
      </c>
      <c r="S28" s="1597">
        <f>F28</f>
        <v>100</v>
      </c>
      <c r="T28" s="1596" t="s">
        <v>1477</v>
      </c>
      <c r="U28" s="1597">
        <f>H28</f>
        <v>100</v>
      </c>
      <c r="V28" s="1596" t="s">
        <v>1477</v>
      </c>
      <c r="W28" s="1597">
        <f>J28</f>
        <v>100</v>
      </c>
      <c r="X28" s="1598"/>
      <c r="Y28" s="3848"/>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43"/>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48"/>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43"/>
      <c r="Q32" s="612">
        <f t="shared" si="11"/>
        <v>111</v>
      </c>
      <c r="R32" s="1600" t="s">
        <v>1477</v>
      </c>
      <c r="S32" s="1601">
        <f t="shared" si="12"/>
        <v>100</v>
      </c>
      <c r="T32" s="1600" t="s">
        <v>1477</v>
      </c>
      <c r="U32" s="1601">
        <f t="shared" si="13"/>
        <v>100</v>
      </c>
      <c r="V32" s="1600" t="s">
        <v>1477</v>
      </c>
      <c r="W32" s="1601">
        <f t="shared" si="14"/>
        <v>100</v>
      </c>
      <c r="X32" s="1595"/>
      <c r="Y32" s="3848"/>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44" t="s">
        <v>1508</v>
      </c>
      <c r="Q33" s="612" t="str">
        <f t="shared" si="11"/>
        <v>建筑类型</v>
      </c>
      <c r="R33" s="1600" t="s">
        <v>1477</v>
      </c>
      <c r="S33" s="1601">
        <f t="shared" si="12"/>
        <v>100</v>
      </c>
      <c r="T33" s="1600" t="s">
        <v>1477</v>
      </c>
      <c r="U33" s="1601">
        <f t="shared" si="13"/>
        <v>100</v>
      </c>
      <c r="V33" s="1600" t="s">
        <v>1477</v>
      </c>
      <c r="W33" s="1601">
        <f t="shared" si="14"/>
        <v>100</v>
      </c>
      <c r="X33" s="1595"/>
      <c r="Y33" s="3849"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45"/>
      <c r="Q34" s="1790" t="str">
        <f t="shared" si="11"/>
        <v>项目建筑规模</v>
      </c>
      <c r="R34" s="1602" t="s">
        <v>1477</v>
      </c>
      <c r="S34" s="1603" t="e">
        <f t="shared" si="12"/>
        <v>#N/A</v>
      </c>
      <c r="T34" s="1602" t="s">
        <v>1477</v>
      </c>
      <c r="U34" s="1603" t="e">
        <f t="shared" si="13"/>
        <v>#N/A</v>
      </c>
      <c r="V34" s="1602" t="s">
        <v>1477</v>
      </c>
      <c r="W34" s="1603" t="e">
        <f t="shared" si="14"/>
        <v>#N/A</v>
      </c>
      <c r="X34" s="1604"/>
      <c r="Y34" s="3849"/>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45"/>
      <c r="Q35" s="612" t="str">
        <f t="shared" si="11"/>
        <v>建筑结构</v>
      </c>
      <c r="R35" s="1600" t="s">
        <v>1477</v>
      </c>
      <c r="S35" s="1601">
        <f t="shared" si="12"/>
        <v>100</v>
      </c>
      <c r="T35" s="1600" t="s">
        <v>1477</v>
      </c>
      <c r="U35" s="1601">
        <f t="shared" si="13"/>
        <v>100</v>
      </c>
      <c r="V35" s="1600" t="s">
        <v>1477</v>
      </c>
      <c r="W35" s="1601">
        <f t="shared" si="14"/>
        <v>100</v>
      </c>
      <c r="X35" s="1595"/>
      <c r="Y35" s="3849"/>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45"/>
      <c r="Q37" s="612" t="str">
        <f t="shared" si="11"/>
        <v>成新度</v>
      </c>
      <c r="R37" s="1600" t="s">
        <v>1477</v>
      </c>
      <c r="S37" s="1601" t="e">
        <f t="shared" si="12"/>
        <v>#N/A</v>
      </c>
      <c r="T37" s="1600" t="s">
        <v>1477</v>
      </c>
      <c r="U37" s="1601" t="e">
        <f t="shared" si="13"/>
        <v>#N/A</v>
      </c>
      <c r="V37" s="1600" t="s">
        <v>1477</v>
      </c>
      <c r="W37" s="1601" t="e">
        <f t="shared" si="14"/>
        <v>#N/A</v>
      </c>
      <c r="X37" s="1595"/>
      <c r="Y37" s="3849"/>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45"/>
      <c r="Q38" s="781" t="str">
        <f t="shared" si="11"/>
        <v>写字楼等级</v>
      </c>
      <c r="R38" s="1596" t="s">
        <v>1477</v>
      </c>
      <c r="S38" s="1597">
        <f t="shared" si="12"/>
        <v>100</v>
      </c>
      <c r="T38" s="1596" t="s">
        <v>1477</v>
      </c>
      <c r="U38" s="1597">
        <f t="shared" si="13"/>
        <v>100</v>
      </c>
      <c r="V38" s="1596" t="s">
        <v>1477</v>
      </c>
      <c r="W38" s="1597">
        <f t="shared" si="14"/>
        <v>100</v>
      </c>
      <c r="X38" s="1598"/>
      <c r="Y38" s="3849"/>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45" t="s">
        <v>1508</v>
      </c>
      <c r="Q39" s="612" t="str">
        <f t="shared" si="11"/>
        <v>物业管理</v>
      </c>
      <c r="R39" s="1600" t="s">
        <v>1477</v>
      </c>
      <c r="S39" s="1601">
        <f t="shared" si="12"/>
        <v>100</v>
      </c>
      <c r="T39" s="1600" t="s">
        <v>1477</v>
      </c>
      <c r="U39" s="1601">
        <f t="shared" si="13"/>
        <v>100</v>
      </c>
      <c r="V39" s="1600" t="s">
        <v>1477</v>
      </c>
      <c r="W39" s="1601">
        <f t="shared" si="14"/>
        <v>100</v>
      </c>
      <c r="X39" s="1595"/>
      <c r="Y39" s="3849"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45"/>
      <c r="Q40" s="612" t="str">
        <f t="shared" si="11"/>
        <v>市政基础设施</v>
      </c>
      <c r="R40" s="1600" t="s">
        <v>1477</v>
      </c>
      <c r="S40" s="1601">
        <f t="shared" si="12"/>
        <v>100</v>
      </c>
      <c r="T40" s="1600" t="s">
        <v>1477</v>
      </c>
      <c r="U40" s="1601">
        <f t="shared" si="13"/>
        <v>100</v>
      </c>
      <c r="V40" s="1600" t="s">
        <v>1477</v>
      </c>
      <c r="W40" s="1601">
        <f t="shared" si="14"/>
        <v>100</v>
      </c>
      <c r="X40" s="1595"/>
      <c r="Y40" s="3849"/>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45"/>
      <c r="Q41" s="612" t="str">
        <f t="shared" si="11"/>
        <v>层高</v>
      </c>
      <c r="R41" s="1600" t="s">
        <v>1477</v>
      </c>
      <c r="S41" s="1601">
        <f t="shared" si="12"/>
        <v>100</v>
      </c>
      <c r="T41" s="1600" t="s">
        <v>1477</v>
      </c>
      <c r="U41" s="1601">
        <f t="shared" si="13"/>
        <v>100</v>
      </c>
      <c r="V41" s="1600" t="s">
        <v>1477</v>
      </c>
      <c r="W41" s="1601">
        <f t="shared" si="14"/>
        <v>100</v>
      </c>
      <c r="X41" s="1595"/>
      <c r="Y41" s="3849"/>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45"/>
      <c r="Q42" s="1790" t="str">
        <f t="shared" si="11"/>
        <v>单套建筑面积</v>
      </c>
      <c r="R42" s="1602" t="s">
        <v>1477</v>
      </c>
      <c r="S42" s="1603">
        <f t="shared" si="12"/>
        <v>100</v>
      </c>
      <c r="T42" s="1602" t="s">
        <v>1477</v>
      </c>
      <c r="U42" s="1603">
        <f t="shared" si="13"/>
        <v>100</v>
      </c>
      <c r="V42" s="1602" t="s">
        <v>1477</v>
      </c>
      <c r="W42" s="1603">
        <f t="shared" si="14"/>
        <v>100</v>
      </c>
      <c r="X42" s="1604"/>
      <c r="Y42" s="3849"/>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45"/>
      <c r="Q43" s="612" t="str">
        <f t="shared" si="11"/>
        <v>内部装修</v>
      </c>
      <c r="R43" s="1600" t="s">
        <v>1477</v>
      </c>
      <c r="S43" s="1601">
        <f t="shared" si="12"/>
        <v>100</v>
      </c>
      <c r="T43" s="1600" t="s">
        <v>1477</v>
      </c>
      <c r="U43" s="1601">
        <f t="shared" si="13"/>
        <v>100</v>
      </c>
      <c r="V43" s="1600" t="s">
        <v>1477</v>
      </c>
      <c r="W43" s="1601">
        <f t="shared" si="14"/>
        <v>100</v>
      </c>
      <c r="X43" s="1595"/>
      <c r="Y43" s="3849"/>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45"/>
      <c r="Q44" s="612" t="str">
        <f t="shared" si="11"/>
        <v>内部装修维护情况</v>
      </c>
      <c r="R44" s="1600" t="s">
        <v>1477</v>
      </c>
      <c r="S44" s="1601">
        <f t="shared" si="12"/>
        <v>100</v>
      </c>
      <c r="T44" s="1600" t="s">
        <v>1477</v>
      </c>
      <c r="U44" s="1601">
        <f t="shared" si="13"/>
        <v>100</v>
      </c>
      <c r="V44" s="1600" t="s">
        <v>1477</v>
      </c>
      <c r="W44" s="1601">
        <f t="shared" si="14"/>
        <v>100</v>
      </c>
      <c r="X44" s="1595"/>
      <c r="Y44" s="3849"/>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45"/>
      <c r="Q45" s="781">
        <f t="shared" si="11"/>
        <v>111</v>
      </c>
      <c r="R45" s="1596" t="s">
        <v>1477</v>
      </c>
      <c r="S45" s="1597">
        <f t="shared" si="12"/>
        <v>100</v>
      </c>
      <c r="T45" s="1596" t="s">
        <v>1477</v>
      </c>
      <c r="U45" s="1597">
        <f t="shared" si="13"/>
        <v>100</v>
      </c>
      <c r="V45" s="1596" t="s">
        <v>1477</v>
      </c>
      <c r="W45" s="1597">
        <f t="shared" si="14"/>
        <v>100</v>
      </c>
      <c r="X45" s="1598"/>
      <c r="Y45" s="3849"/>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45"/>
      <c r="Q46" s="612">
        <f t="shared" si="11"/>
        <v>111</v>
      </c>
      <c r="R46" s="1600" t="s">
        <v>1477</v>
      </c>
      <c r="S46" s="1601">
        <f t="shared" si="12"/>
        <v>100</v>
      </c>
      <c r="T46" s="1600" t="s">
        <v>1477</v>
      </c>
      <c r="U46" s="1601">
        <f t="shared" si="13"/>
        <v>100</v>
      </c>
      <c r="V46" s="1600" t="s">
        <v>1477</v>
      </c>
      <c r="W46" s="1601">
        <f t="shared" si="14"/>
        <v>100</v>
      </c>
      <c r="X46" s="1595"/>
      <c r="Y46" s="3849"/>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46"/>
      <c r="Q47" s="612">
        <f t="shared" si="11"/>
        <v>111</v>
      </c>
      <c r="R47" s="1600" t="s">
        <v>1477</v>
      </c>
      <c r="S47" s="1601">
        <f t="shared" si="12"/>
        <v>100</v>
      </c>
      <c r="T47" s="1600" t="s">
        <v>1477</v>
      </c>
      <c r="U47" s="1601">
        <f t="shared" si="13"/>
        <v>100</v>
      </c>
      <c r="V47" s="1600" t="s">
        <v>1477</v>
      </c>
      <c r="W47" s="1601">
        <f t="shared" si="14"/>
        <v>100</v>
      </c>
      <c r="X47" s="1595"/>
      <c r="Y47" s="3850"/>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41" t="str">
        <f>A48</f>
        <v>成交单价（元/平方米）</v>
      </c>
      <c r="Q48" s="3839"/>
      <c r="R48" s="3840">
        <f>E48</f>
        <v>0</v>
      </c>
      <c r="S48" s="3840"/>
      <c r="T48" s="3840">
        <f>G48</f>
        <v>0</v>
      </c>
      <c r="U48" s="3840"/>
      <c r="V48" s="3840">
        <f>I48</f>
        <v>0</v>
      </c>
      <c r="W48" s="3840"/>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41" t="str">
        <f>A49</f>
        <v>比较价值（元/平方米）</v>
      </c>
      <c r="Q49" s="3839"/>
      <c r="R49" s="3840" t="e">
        <f>IF(F1="售价",ROUND(PRODUCT(R48,AA7:AA47),0),ROUND(PRODUCT(R48,AA7:AA47),1))</f>
        <v>#DIV/0!</v>
      </c>
      <c r="S49" s="3840"/>
      <c r="T49" s="3840" t="e">
        <f>IF(F1="售价",ROUND(PRODUCT(T48,AB7:AB47),0),ROUND(PRODUCT(T48,AB7:AB47),1))</f>
        <v>#DIV/0!</v>
      </c>
      <c r="U49" s="3840"/>
      <c r="V49" s="3840" t="e">
        <f>IF(F1="售价",ROUND(PRODUCT(V48,AC7:AC47),0),ROUND(PRODUCT(V48,AC7:AC47),1))</f>
        <v>#DIV/0!</v>
      </c>
      <c r="W49" s="3840"/>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872" t="str">
        <f>A50</f>
        <v>估价对象XX用房的比较价值（楼面单价，元/平方米）</v>
      </c>
      <c r="Q50" s="3873"/>
      <c r="R50" s="3874" t="e">
        <f>IF(F1="售价",ROUND(IF(D49="简单平均",AVERAGE(R49:V49),R49*F49+T49*H49+V49*J49),0),ROUND(IF(D49="简单平均",AVERAGE(R49:V49),R49*F49+T49*H49+V49*J49),1))</f>
        <v>#DIV/0!</v>
      </c>
      <c r="S50" s="3874"/>
      <c r="T50" s="3874"/>
      <c r="U50" s="3874"/>
      <c r="V50" s="3874"/>
      <c r="W50" s="387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2002-10</v>
      </c>
      <c r="D59" s="1782">
        <f>EDATE(C59,-1)</f>
        <v>37500</v>
      </c>
      <c r="E59" s="1782">
        <f>EDATE(D59,-1)</f>
        <v>37469</v>
      </c>
      <c r="F59" s="1782">
        <f t="shared" ref="F59:O59" si="16">EDATE(E59,-1)</f>
        <v>37438</v>
      </c>
      <c r="G59" s="1782">
        <f t="shared" si="16"/>
        <v>37408</v>
      </c>
      <c r="H59" s="1782">
        <f t="shared" si="16"/>
        <v>37377</v>
      </c>
      <c r="I59" s="1782">
        <f t="shared" si="16"/>
        <v>37347</v>
      </c>
      <c r="J59" s="1782">
        <f t="shared" si="16"/>
        <v>37316</v>
      </c>
      <c r="K59" s="1782">
        <f t="shared" si="16"/>
        <v>37288</v>
      </c>
      <c r="L59" s="1782">
        <f t="shared" si="16"/>
        <v>37257</v>
      </c>
      <c r="M59" s="1782">
        <f t="shared" si="16"/>
        <v>37226</v>
      </c>
      <c r="N59" s="1782">
        <f t="shared" si="16"/>
        <v>37196</v>
      </c>
      <c r="O59" s="1782">
        <f t="shared" si="16"/>
        <v>37165</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100.28</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862"/>
      <c r="M4" s="1532"/>
      <c r="N4" s="1532"/>
      <c r="O4" s="1532"/>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862"/>
      <c r="M5" s="1532"/>
      <c r="N5" s="1532"/>
      <c r="O5" s="1532"/>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862"/>
      <c r="M6" s="1532"/>
      <c r="N6" s="1532"/>
      <c r="O6" s="1532"/>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39"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39"/>
      <c r="Q11" s="781" t="str">
        <f t="shared" si="6"/>
        <v>容积率</v>
      </c>
      <c r="R11" s="1596" t="s">
        <v>1477</v>
      </c>
      <c r="S11" s="1597">
        <f t="shared" si="0"/>
        <v>100</v>
      </c>
      <c r="T11" s="1596" t="s">
        <v>1477</v>
      </c>
      <c r="U11" s="1597">
        <f t="shared" si="1"/>
        <v>100</v>
      </c>
      <c r="V11" s="1596" t="s">
        <v>1477</v>
      </c>
      <c r="W11" s="1597">
        <f t="shared" si="2"/>
        <v>100</v>
      </c>
      <c r="X11" s="1598"/>
      <c r="Y11" s="3793"/>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39"/>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39"/>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48"/>
      <c r="Q16" s="612"/>
      <c r="R16" s="1600"/>
      <c r="S16" s="1601"/>
      <c r="T16" s="1600"/>
      <c r="U16" s="1601"/>
      <c r="V16" s="1600"/>
      <c r="W16" s="1601"/>
      <c r="X16" s="1595"/>
      <c r="Y16" s="3848"/>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48"/>
      <c r="Q18" s="612"/>
      <c r="R18" s="1600"/>
      <c r="S18" s="1601"/>
      <c r="T18" s="1600"/>
      <c r="U18" s="1601"/>
      <c r="V18" s="1600"/>
      <c r="W18" s="1601"/>
      <c r="X18" s="1595"/>
      <c r="Y18" s="3848"/>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48"/>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48"/>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48"/>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48"/>
      <c r="Q22" s="612"/>
      <c r="R22" s="1600"/>
      <c r="S22" s="1601"/>
      <c r="T22" s="1600"/>
      <c r="U22" s="1601"/>
      <c r="V22" s="1600"/>
      <c r="W22" s="1601"/>
      <c r="X22" s="1595"/>
      <c r="Y22" s="3848"/>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48"/>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48"/>
      <c r="Q24" s="612"/>
      <c r="R24" s="1600"/>
      <c r="S24" s="1601"/>
      <c r="T24" s="1600"/>
      <c r="U24" s="1601"/>
      <c r="V24" s="1600"/>
      <c r="W24" s="1601"/>
      <c r="X24" s="1595"/>
      <c r="Y24" s="3848"/>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48"/>
      <c r="Q25" s="612">
        <f>B25</f>
        <v>111</v>
      </c>
      <c r="R25" s="1600" t="s">
        <v>1477</v>
      </c>
      <c r="S25" s="1601">
        <f>F25</f>
        <v>100</v>
      </c>
      <c r="T25" s="1600" t="s">
        <v>1477</v>
      </c>
      <c r="U25" s="1601">
        <f>H25</f>
        <v>100</v>
      </c>
      <c r="V25" s="1600" t="s">
        <v>1477</v>
      </c>
      <c r="W25" s="1601">
        <f>J25</f>
        <v>100</v>
      </c>
      <c r="X25" s="1595"/>
      <c r="Y25" s="3848"/>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48"/>
      <c r="Q26" s="612">
        <f t="shared" ref="Q26:Q40" si="11">B26</f>
        <v>111</v>
      </c>
      <c r="R26" s="1600" t="s">
        <v>1477</v>
      </c>
      <c r="S26" s="1601">
        <f>F26</f>
        <v>100</v>
      </c>
      <c r="T26" s="1600" t="s">
        <v>1477</v>
      </c>
      <c r="U26" s="1601">
        <f>H26</f>
        <v>100</v>
      </c>
      <c r="V26" s="1600" t="s">
        <v>1477</v>
      </c>
      <c r="W26" s="1601">
        <f>J26</f>
        <v>100</v>
      </c>
      <c r="X26" s="1595"/>
      <c r="Y26" s="3848"/>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48"/>
      <c r="Q27" s="781">
        <f t="shared" si="11"/>
        <v>111</v>
      </c>
      <c r="R27" s="1596" t="s">
        <v>1477</v>
      </c>
      <c r="S27" s="1597">
        <f>F27</f>
        <v>100</v>
      </c>
      <c r="T27" s="1596" t="s">
        <v>1477</v>
      </c>
      <c r="U27" s="1597">
        <f>H27</f>
        <v>100</v>
      </c>
      <c r="V27" s="1596" t="s">
        <v>1477</v>
      </c>
      <c r="W27" s="1597">
        <f>J27</f>
        <v>100</v>
      </c>
      <c r="X27" s="1598"/>
      <c r="Y27" s="3848"/>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48"/>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48"/>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886" t="s">
        <v>1508</v>
      </c>
      <c r="Q29" s="612" t="str">
        <f t="shared" si="11"/>
        <v>建筑类型</v>
      </c>
      <c r="R29" s="1600" t="s">
        <v>1477</v>
      </c>
      <c r="S29" s="1601">
        <f t="shared" si="12"/>
        <v>100</v>
      </c>
      <c r="T29" s="1600" t="s">
        <v>1477</v>
      </c>
      <c r="U29" s="1601">
        <f t="shared" si="13"/>
        <v>100</v>
      </c>
      <c r="V29" s="1600" t="s">
        <v>1477</v>
      </c>
      <c r="W29" s="1601">
        <f t="shared" si="14"/>
        <v>100</v>
      </c>
      <c r="X29" s="1595"/>
      <c r="Y29" s="3849"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49"/>
      <c r="Q30" s="1790" t="str">
        <f t="shared" si="11"/>
        <v>项目建筑规模</v>
      </c>
      <c r="R30" s="1602" t="s">
        <v>1477</v>
      </c>
      <c r="S30" s="1603" t="e">
        <f t="shared" si="12"/>
        <v>#N/A</v>
      </c>
      <c r="T30" s="1602" t="s">
        <v>1477</v>
      </c>
      <c r="U30" s="1603" t="e">
        <f t="shared" si="13"/>
        <v>#N/A</v>
      </c>
      <c r="V30" s="1602" t="s">
        <v>1477</v>
      </c>
      <c r="W30" s="1603" t="e">
        <f t="shared" si="14"/>
        <v>#N/A</v>
      </c>
      <c r="X30" s="1604"/>
      <c r="Y30" s="3849"/>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49"/>
      <c r="Q31" s="612" t="str">
        <f t="shared" si="11"/>
        <v>建筑结构</v>
      </c>
      <c r="R31" s="1600" t="s">
        <v>1477</v>
      </c>
      <c r="S31" s="1601">
        <f t="shared" si="12"/>
        <v>100</v>
      </c>
      <c r="T31" s="1600" t="s">
        <v>1477</v>
      </c>
      <c r="U31" s="1601">
        <f t="shared" si="13"/>
        <v>100</v>
      </c>
      <c r="V31" s="1600" t="s">
        <v>1477</v>
      </c>
      <c r="W31" s="1601">
        <f t="shared" si="14"/>
        <v>100</v>
      </c>
      <c r="X31" s="1595"/>
      <c r="Y31" s="3849"/>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49"/>
      <c r="Q32" s="612" t="str">
        <f t="shared" si="11"/>
        <v>公共部分装修</v>
      </c>
      <c r="R32" s="1600" t="s">
        <v>1477</v>
      </c>
      <c r="S32" s="1601">
        <f t="shared" si="12"/>
        <v>100</v>
      </c>
      <c r="T32" s="1600" t="s">
        <v>1477</v>
      </c>
      <c r="U32" s="1601">
        <f t="shared" si="13"/>
        <v>100</v>
      </c>
      <c r="V32" s="1600" t="s">
        <v>1477</v>
      </c>
      <c r="W32" s="1601">
        <f t="shared" si="14"/>
        <v>100</v>
      </c>
      <c r="X32" s="1595"/>
      <c r="Y32" s="3849"/>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49"/>
      <c r="Q33" s="612" t="str">
        <f t="shared" si="11"/>
        <v>成新度</v>
      </c>
      <c r="R33" s="1600" t="s">
        <v>1477</v>
      </c>
      <c r="S33" s="1601" t="e">
        <f t="shared" si="12"/>
        <v>#N/A</v>
      </c>
      <c r="T33" s="1600" t="s">
        <v>1477</v>
      </c>
      <c r="U33" s="1601" t="e">
        <f t="shared" si="13"/>
        <v>#N/A</v>
      </c>
      <c r="V33" s="1600" t="s">
        <v>1477</v>
      </c>
      <c r="W33" s="1601" t="e">
        <f t="shared" si="14"/>
        <v>#N/A</v>
      </c>
      <c r="X33" s="1595"/>
      <c r="Y33" s="3849"/>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49"/>
      <c r="Q34" s="781" t="str">
        <f t="shared" si="11"/>
        <v>物业管理</v>
      </c>
      <c r="R34" s="1596" t="s">
        <v>1477</v>
      </c>
      <c r="S34" s="1597">
        <f t="shared" si="12"/>
        <v>100</v>
      </c>
      <c r="T34" s="1596" t="s">
        <v>1477</v>
      </c>
      <c r="U34" s="1597">
        <f t="shared" si="13"/>
        <v>100</v>
      </c>
      <c r="V34" s="1596" t="s">
        <v>1477</v>
      </c>
      <c r="W34" s="1597">
        <f t="shared" si="14"/>
        <v>100</v>
      </c>
      <c r="X34" s="1598"/>
      <c r="Y34" s="3849"/>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49" t="s">
        <v>1508</v>
      </c>
      <c r="Q35" s="612" t="str">
        <f t="shared" si="11"/>
        <v>市政基础设施</v>
      </c>
      <c r="R35" s="1600" t="s">
        <v>1477</v>
      </c>
      <c r="S35" s="1601">
        <f t="shared" si="12"/>
        <v>100</v>
      </c>
      <c r="T35" s="1600" t="s">
        <v>1477</v>
      </c>
      <c r="U35" s="1601">
        <f t="shared" si="13"/>
        <v>100</v>
      </c>
      <c r="V35" s="1600" t="s">
        <v>1477</v>
      </c>
      <c r="W35" s="1601">
        <f t="shared" si="14"/>
        <v>100</v>
      </c>
      <c r="X35" s="1595"/>
      <c r="Y35" s="3849"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49"/>
      <c r="Q36" s="612" t="str">
        <f t="shared" si="11"/>
        <v>内部装修</v>
      </c>
      <c r="R36" s="1600" t="s">
        <v>1477</v>
      </c>
      <c r="S36" s="1601">
        <f t="shared" si="12"/>
        <v>100</v>
      </c>
      <c r="T36" s="1600" t="s">
        <v>1477</v>
      </c>
      <c r="U36" s="1601">
        <f t="shared" si="13"/>
        <v>100</v>
      </c>
      <c r="V36" s="1600" t="s">
        <v>1477</v>
      </c>
      <c r="W36" s="1601">
        <f t="shared" si="14"/>
        <v>100</v>
      </c>
      <c r="X36" s="1595"/>
      <c r="Y36" s="3849"/>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49"/>
      <c r="Q37" s="612" t="str">
        <f t="shared" si="11"/>
        <v>内部装修状况</v>
      </c>
      <c r="R37" s="1600" t="s">
        <v>1477</v>
      </c>
      <c r="S37" s="1601">
        <f t="shared" si="12"/>
        <v>100</v>
      </c>
      <c r="T37" s="1600" t="s">
        <v>1477</v>
      </c>
      <c r="U37" s="1601">
        <f t="shared" si="13"/>
        <v>100</v>
      </c>
      <c r="V37" s="1600" t="s">
        <v>1477</v>
      </c>
      <c r="W37" s="1601">
        <f t="shared" si="14"/>
        <v>100</v>
      </c>
      <c r="X37" s="1595"/>
      <c r="Y37" s="3849"/>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49"/>
      <c r="Q38" s="1790">
        <f t="shared" si="11"/>
        <v>111</v>
      </c>
      <c r="R38" s="1602" t="s">
        <v>1477</v>
      </c>
      <c r="S38" s="1603">
        <f t="shared" si="12"/>
        <v>100</v>
      </c>
      <c r="T38" s="1602" t="s">
        <v>1477</v>
      </c>
      <c r="U38" s="1603">
        <f t="shared" si="13"/>
        <v>100</v>
      </c>
      <c r="V38" s="1602" t="s">
        <v>1477</v>
      </c>
      <c r="W38" s="1603">
        <f t="shared" si="14"/>
        <v>100</v>
      </c>
      <c r="X38" s="1604"/>
      <c r="Y38" s="3849"/>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49"/>
      <c r="Q39" s="612">
        <f t="shared" si="11"/>
        <v>111</v>
      </c>
      <c r="R39" s="1600" t="s">
        <v>1477</v>
      </c>
      <c r="S39" s="1601">
        <f t="shared" si="12"/>
        <v>100</v>
      </c>
      <c r="T39" s="1600" t="s">
        <v>1477</v>
      </c>
      <c r="U39" s="1601">
        <f t="shared" si="13"/>
        <v>100</v>
      </c>
      <c r="V39" s="1600" t="s">
        <v>1477</v>
      </c>
      <c r="W39" s="1601">
        <f t="shared" si="14"/>
        <v>100</v>
      </c>
      <c r="X39" s="1595"/>
      <c r="Y39" s="3849"/>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50"/>
      <c r="Q40" s="612">
        <f t="shared" si="11"/>
        <v>111</v>
      </c>
      <c r="R40" s="1600" t="s">
        <v>1477</v>
      </c>
      <c r="S40" s="1601">
        <f t="shared" si="12"/>
        <v>100</v>
      </c>
      <c r="T40" s="1600" t="s">
        <v>1477</v>
      </c>
      <c r="U40" s="1601">
        <f t="shared" si="13"/>
        <v>100</v>
      </c>
      <c r="V40" s="1600" t="s">
        <v>1477</v>
      </c>
      <c r="W40" s="1601">
        <f t="shared" si="14"/>
        <v>100</v>
      </c>
      <c r="X40" s="1595"/>
      <c r="Y40" s="3850"/>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39" t="str">
        <f>A41</f>
        <v>成交单价（元/平方米）</v>
      </c>
      <c r="Q41" s="3839"/>
      <c r="R41" s="3840">
        <f>E41</f>
        <v>0</v>
      </c>
      <c r="S41" s="3840"/>
      <c r="T41" s="3840">
        <f>G41</f>
        <v>0</v>
      </c>
      <c r="U41" s="3840"/>
      <c r="V41" s="3840">
        <f>I41</f>
        <v>0</v>
      </c>
      <c r="W41" s="3840"/>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39" t="str">
        <f>A42</f>
        <v>比较价值（元/平方米）</v>
      </c>
      <c r="Q42" s="3839"/>
      <c r="R42" s="3840" t="e">
        <f>IF(F1="售价",ROUND(PRODUCT(R41,AA7:AA40),0),ROUND(PRODUCT(R41,AA7:AA40),1))</f>
        <v>#DIV/0!</v>
      </c>
      <c r="S42" s="3840"/>
      <c r="T42" s="3840" t="e">
        <f>IF(F1="售价",ROUND(PRODUCT(T41,AB7:AB40),0),ROUND(PRODUCT(T41,AB7:AB40),1))</f>
        <v>#DIV/0!</v>
      </c>
      <c r="U42" s="3840"/>
      <c r="V42" s="3840" t="e">
        <f>IF(F1="售价",ROUND(PRODUCT(V41,AC7:AC40),0),ROUND(PRODUCT(V41,AC7:AC40),1))</f>
        <v>#DIV/0!</v>
      </c>
      <c r="W42" s="3840"/>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51" t="str">
        <f>A43</f>
        <v>估价对象XX用房的比较价值（楼面单价，元/平方米）</v>
      </c>
      <c r="Q43" s="3852"/>
      <c r="R43" s="3853" t="e">
        <f>IF(F1="售价",ROUND(IF(D42="简单平均",AVERAGE(R42:V42),R42*F42+T42*H42+V42*J42),0),ROUND(IF(D42="简单平均",AVERAGE(R42:V42),R42*F42+T42*H42+V42*J42),1))</f>
        <v>#DIV/0!</v>
      </c>
      <c r="S43" s="3853"/>
      <c r="T43" s="3853"/>
      <c r="U43" s="3853"/>
      <c r="V43" s="3853"/>
      <c r="W43" s="3853"/>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2002-10</v>
      </c>
      <c r="D52" s="1782">
        <f>EDATE(C52,-1)</f>
        <v>37500</v>
      </c>
      <c r="E52" s="1782">
        <f t="shared" ref="E52:O52" si="16">EDATE(D52,-1)</f>
        <v>37469</v>
      </c>
      <c r="F52" s="1782">
        <f t="shared" si="16"/>
        <v>37438</v>
      </c>
      <c r="G52" s="1782">
        <f t="shared" si="16"/>
        <v>37408</v>
      </c>
      <c r="H52" s="1782">
        <f t="shared" si="16"/>
        <v>37377</v>
      </c>
      <c r="I52" s="1782">
        <f t="shared" si="16"/>
        <v>37347</v>
      </c>
      <c r="J52" s="1782">
        <f t="shared" si="16"/>
        <v>37316</v>
      </c>
      <c r="K52" s="1782">
        <f t="shared" si="16"/>
        <v>37288</v>
      </c>
      <c r="L52" s="1782">
        <f t="shared" si="16"/>
        <v>37257</v>
      </c>
      <c r="M52" s="1782">
        <f t="shared" si="16"/>
        <v>37226</v>
      </c>
      <c r="N52" s="1782">
        <f t="shared" si="16"/>
        <v>37196</v>
      </c>
      <c r="O52" s="1782">
        <f t="shared" si="16"/>
        <v>37165</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39" t="s">
        <v>1483</v>
      </c>
      <c r="Q9" s="781" t="str">
        <f t="shared" ref="Q9:Q14" si="6">B9</f>
        <v>用途</v>
      </c>
      <c r="R9" s="1596" t="s">
        <v>1477</v>
      </c>
      <c r="S9" s="1597">
        <f t="shared" si="0"/>
        <v>100</v>
      </c>
      <c r="T9" s="1596" t="s">
        <v>1477</v>
      </c>
      <c r="U9" s="1597">
        <f t="shared" si="1"/>
        <v>100</v>
      </c>
      <c r="V9" s="1596" t="s">
        <v>1477</v>
      </c>
      <c r="W9" s="1597">
        <f t="shared" si="2"/>
        <v>100</v>
      </c>
      <c r="X9" s="1598"/>
      <c r="Y9" s="3793"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39"/>
      <c r="Q11" s="781">
        <f t="shared" si="6"/>
        <v>111</v>
      </c>
      <c r="R11" s="1596" t="s">
        <v>1477</v>
      </c>
      <c r="S11" s="1597">
        <f t="shared" si="0"/>
        <v>100</v>
      </c>
      <c r="T11" s="1596" t="s">
        <v>1477</v>
      </c>
      <c r="U11" s="1597">
        <f t="shared" si="1"/>
        <v>100</v>
      </c>
      <c r="V11" s="1596" t="s">
        <v>1477</v>
      </c>
      <c r="W11" s="1597">
        <f t="shared" si="2"/>
        <v>100</v>
      </c>
      <c r="X11" s="1598"/>
      <c r="Y11" s="3793"/>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39"/>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48"/>
      <c r="Q15" s="612"/>
      <c r="R15" s="1600"/>
      <c r="S15" s="1601"/>
      <c r="T15" s="1600"/>
      <c r="U15" s="1601"/>
      <c r="V15" s="1600"/>
      <c r="W15" s="1601"/>
      <c r="X15" s="1595"/>
      <c r="Y15" s="3848"/>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48"/>
      <c r="Q17" s="612"/>
      <c r="R17" s="1600"/>
      <c r="S17" s="1601"/>
      <c r="T17" s="1600"/>
      <c r="U17" s="1601"/>
      <c r="V17" s="1600"/>
      <c r="W17" s="1601"/>
      <c r="X17" s="1595"/>
      <c r="Y17" s="3848"/>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48"/>
      <c r="Q19" s="612"/>
      <c r="R19" s="1600"/>
      <c r="S19" s="1601"/>
      <c r="T19" s="1600"/>
      <c r="U19" s="1601"/>
      <c r="V19" s="1600"/>
      <c r="W19" s="1601"/>
      <c r="X19" s="1595"/>
      <c r="Y19" s="3848"/>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48"/>
      <c r="Q21" s="612"/>
      <c r="R21" s="1600"/>
      <c r="S21" s="1601"/>
      <c r="T21" s="1600"/>
      <c r="U21" s="1601"/>
      <c r="V21" s="1600"/>
      <c r="W21" s="1601"/>
      <c r="X21" s="1595"/>
      <c r="Y21" s="3848"/>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48"/>
      <c r="Q24" s="612">
        <f t="shared" ref="Q24:Q36"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88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49"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49"/>
      <c r="Q27" s="1790" t="str">
        <f t="shared" si="11"/>
        <v>项目停车位配比</v>
      </c>
      <c r="R27" s="1602" t="s">
        <v>1477</v>
      </c>
      <c r="S27" s="1603">
        <f t="shared" si="12"/>
        <v>100</v>
      </c>
      <c r="T27" s="1602" t="s">
        <v>1477</v>
      </c>
      <c r="U27" s="1603">
        <f t="shared" si="13"/>
        <v>100</v>
      </c>
      <c r="V27" s="1602" t="s">
        <v>1477</v>
      </c>
      <c r="W27" s="1603">
        <f t="shared" si="14"/>
        <v>100</v>
      </c>
      <c r="X27" s="1604"/>
      <c r="Y27" s="3849"/>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49"/>
      <c r="Q28" s="612" t="str">
        <f t="shared" si="11"/>
        <v>公共部分装修</v>
      </c>
      <c r="R28" s="1600" t="s">
        <v>1477</v>
      </c>
      <c r="S28" s="1601">
        <f t="shared" si="12"/>
        <v>100</v>
      </c>
      <c r="T28" s="1600" t="s">
        <v>1477</v>
      </c>
      <c r="U28" s="1601">
        <f t="shared" si="13"/>
        <v>100</v>
      </c>
      <c r="V28" s="1600" t="s">
        <v>1477</v>
      </c>
      <c r="W28" s="1601">
        <f t="shared" si="14"/>
        <v>100</v>
      </c>
      <c r="X28" s="1595"/>
      <c r="Y28" s="3849"/>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49"/>
      <c r="Q29" s="612" t="str">
        <f t="shared" si="11"/>
        <v>成新率</v>
      </c>
      <c r="R29" s="1600" t="s">
        <v>1477</v>
      </c>
      <c r="S29" s="1601" t="e">
        <f t="shared" si="12"/>
        <v>#N/A</v>
      </c>
      <c r="T29" s="1600" t="s">
        <v>1477</v>
      </c>
      <c r="U29" s="1601" t="e">
        <f t="shared" si="13"/>
        <v>#N/A</v>
      </c>
      <c r="V29" s="1600" t="s">
        <v>1477</v>
      </c>
      <c r="W29" s="1601" t="e">
        <f t="shared" si="14"/>
        <v>#N/A</v>
      </c>
      <c r="X29" s="1595"/>
      <c r="Y29" s="3849"/>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49"/>
      <c r="Q30" s="612" t="str">
        <f t="shared" si="11"/>
        <v>物业等级</v>
      </c>
      <c r="R30" s="1600" t="s">
        <v>1477</v>
      </c>
      <c r="S30" s="1601">
        <f t="shared" si="12"/>
        <v>100</v>
      </c>
      <c r="T30" s="1600" t="s">
        <v>1477</v>
      </c>
      <c r="U30" s="1601">
        <f t="shared" si="13"/>
        <v>100</v>
      </c>
      <c r="V30" s="1600" t="s">
        <v>1477</v>
      </c>
      <c r="W30" s="1601">
        <f t="shared" si="14"/>
        <v>100</v>
      </c>
      <c r="X30" s="1595"/>
      <c r="Y30" s="3849"/>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49"/>
      <c r="Q31" s="781" t="str">
        <f t="shared" si="11"/>
        <v>停车位面积</v>
      </c>
      <c r="R31" s="1596" t="s">
        <v>1477</v>
      </c>
      <c r="S31" s="1597" t="e">
        <f t="shared" si="12"/>
        <v>#N/A</v>
      </c>
      <c r="T31" s="1596" t="s">
        <v>1477</v>
      </c>
      <c r="U31" s="1597" t="e">
        <f t="shared" si="13"/>
        <v>#N/A</v>
      </c>
      <c r="V31" s="1596" t="s">
        <v>1477</v>
      </c>
      <c r="W31" s="1597" t="e">
        <f t="shared" si="14"/>
        <v>#N/A</v>
      </c>
      <c r="X31" s="1598"/>
      <c r="Y31" s="3849"/>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49" t="s">
        <v>1508</v>
      </c>
      <c r="Q32" s="612" t="str">
        <f t="shared" si="11"/>
        <v>车位类型</v>
      </c>
      <c r="R32" s="1600" t="s">
        <v>1477</v>
      </c>
      <c r="S32" s="1601">
        <f t="shared" si="12"/>
        <v>100</v>
      </c>
      <c r="T32" s="1600" t="s">
        <v>1477</v>
      </c>
      <c r="U32" s="1601">
        <f t="shared" si="13"/>
        <v>100</v>
      </c>
      <c r="V32" s="1600" t="s">
        <v>1477</v>
      </c>
      <c r="W32" s="1601">
        <f t="shared" si="14"/>
        <v>100</v>
      </c>
      <c r="X32" s="1595"/>
      <c r="Y32" s="3849"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49"/>
      <c r="Q33" s="612" t="str">
        <f t="shared" si="11"/>
        <v>是否直接入户</v>
      </c>
      <c r="R33" s="1600" t="s">
        <v>1477</v>
      </c>
      <c r="S33" s="1601">
        <f t="shared" si="12"/>
        <v>100</v>
      </c>
      <c r="T33" s="1600" t="s">
        <v>1477</v>
      </c>
      <c r="U33" s="1601">
        <f t="shared" si="13"/>
        <v>100</v>
      </c>
      <c r="V33" s="1600" t="s">
        <v>1477</v>
      </c>
      <c r="W33" s="1601">
        <f t="shared" si="14"/>
        <v>100</v>
      </c>
      <c r="X33" s="1595"/>
      <c r="Y33" s="3849"/>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49"/>
      <c r="Q35" s="1790">
        <f t="shared" si="11"/>
        <v>111</v>
      </c>
      <c r="R35" s="1602" t="s">
        <v>1477</v>
      </c>
      <c r="S35" s="1603">
        <f t="shared" si="12"/>
        <v>100</v>
      </c>
      <c r="T35" s="1602" t="s">
        <v>1477</v>
      </c>
      <c r="U35" s="1603">
        <f t="shared" si="13"/>
        <v>100</v>
      </c>
      <c r="V35" s="1602" t="s">
        <v>1477</v>
      </c>
      <c r="W35" s="1603">
        <f t="shared" si="14"/>
        <v>100</v>
      </c>
      <c r="X35" s="1604"/>
      <c r="Y35" s="3849"/>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49"/>
      <c r="Q36" s="612">
        <f t="shared" si="11"/>
        <v>111</v>
      </c>
      <c r="R36" s="1600" t="s">
        <v>1477</v>
      </c>
      <c r="S36" s="1601">
        <f t="shared" si="12"/>
        <v>100</v>
      </c>
      <c r="T36" s="1600" t="s">
        <v>1477</v>
      </c>
      <c r="U36" s="1601">
        <f t="shared" si="13"/>
        <v>100</v>
      </c>
      <c r="V36" s="1600" t="s">
        <v>1477</v>
      </c>
      <c r="W36" s="1601">
        <f t="shared" si="14"/>
        <v>100</v>
      </c>
      <c r="X36" s="1595"/>
      <c r="Y36" s="3849"/>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39" t="str">
        <f>A37</f>
        <v>成交单价</v>
      </c>
      <c r="Q37" s="3839"/>
      <c r="R37" s="3840">
        <f>E37</f>
        <v>0</v>
      </c>
      <c r="S37" s="3840"/>
      <c r="T37" s="3840">
        <f>G37</f>
        <v>0</v>
      </c>
      <c r="U37" s="3840"/>
      <c r="V37" s="3840">
        <f>I37</f>
        <v>0</v>
      </c>
      <c r="W37" s="3840"/>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39" t="str">
        <f>A38</f>
        <v>比较价值（元/平方米）</v>
      </c>
      <c r="Q38" s="3839"/>
      <c r="R38" s="3840" t="e">
        <f>IF(F1="售价",ROUND(PRODUCT(R37,AA7:AA36),0),ROUND(PRODUCT(R37,AA7:AA36),1))</f>
        <v>#DIV/0!</v>
      </c>
      <c r="S38" s="3840"/>
      <c r="T38" s="3840" t="e">
        <f>IF(F1="售价",ROUND(PRODUCT(T37,AB7:AB36),0),ROUND(PRODUCT(T37,AB7:AB36),1))</f>
        <v>#DIV/0!</v>
      </c>
      <c r="U38" s="3840"/>
      <c r="V38" s="3840" t="e">
        <f>IF(F1="售价",ROUND(PRODUCT(V37,AC7:AC36),0),ROUND(PRODUCT(V37,AC7:AC36),1))</f>
        <v>#DIV/0!</v>
      </c>
      <c r="W38" s="3840"/>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51" t="str">
        <f>A39</f>
        <v>估价对象XX用房的比较价值（楼面单价，元/平方米）</v>
      </c>
      <c r="Q39" s="3852"/>
      <c r="R39" s="3887" t="e">
        <f>IF(F1="售价",ROUND(IF(D38="简单平均",AVERAGE(R38:W38),R38*F38+T38*H38+V38*J38),0),ROUND(IF(D38="简单平均",AVERAGE(R38:V38),R38*F38+T38*H38+V38*J38),1))</f>
        <v>#DIV/0!</v>
      </c>
      <c r="S39" s="3887"/>
      <c r="T39" s="3887"/>
      <c r="U39" s="3887"/>
      <c r="V39" s="3887"/>
      <c r="W39" s="388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2002-10</v>
      </c>
      <c r="D48" s="1782">
        <f>EDATE(C48,-1)</f>
        <v>37500</v>
      </c>
      <c r="E48" s="1782">
        <f t="shared" ref="E48:O48" si="16">EDATE(D48,-1)</f>
        <v>37469</v>
      </c>
      <c r="F48" s="1782">
        <f t="shared" si="16"/>
        <v>37438</v>
      </c>
      <c r="G48" s="1782">
        <f t="shared" si="16"/>
        <v>37408</v>
      </c>
      <c r="H48" s="1782">
        <f t="shared" si="16"/>
        <v>37377</v>
      </c>
      <c r="I48" s="1782">
        <f t="shared" si="16"/>
        <v>37347</v>
      </c>
      <c r="J48" s="1782">
        <f t="shared" si="16"/>
        <v>37316</v>
      </c>
      <c r="K48" s="1782">
        <f t="shared" si="16"/>
        <v>37288</v>
      </c>
      <c r="L48" s="1782">
        <f t="shared" si="16"/>
        <v>37257</v>
      </c>
      <c r="M48" s="1782">
        <f t="shared" si="16"/>
        <v>37226</v>
      </c>
      <c r="N48" s="1782">
        <f t="shared" si="16"/>
        <v>37196</v>
      </c>
      <c r="O48" s="1782">
        <f t="shared" si="16"/>
        <v>37165</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估价对象为北京市房地产，为所有。根据《国有土地使用证》[]，估价对象（分摊）出让国有建设用地使用权面积为0平方米，建筑面积为100.28平方米。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估价对象为北京市房地产,属开发建设的，该项目尚在开发建设中。根据《国有土地使用证》[]，估价对象（分摊）出让国有建设用地使用权面积为0平方米，规划建筑面积为100.28平方米。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2002年10月4日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39" t="s">
        <v>1483</v>
      </c>
      <c r="Q9" s="781" t="str">
        <f t="shared" ref="Q9:Q14" si="6">B9</f>
        <v>用途</v>
      </c>
      <c r="R9" s="1596" t="s">
        <v>1477</v>
      </c>
      <c r="S9" s="1597">
        <f t="shared" si="0"/>
        <v>100</v>
      </c>
      <c r="T9" s="1596" t="s">
        <v>1477</v>
      </c>
      <c r="U9" s="1597">
        <f t="shared" si="1"/>
        <v>100</v>
      </c>
      <c r="V9" s="1596" t="s">
        <v>1477</v>
      </c>
      <c r="W9" s="1597">
        <f t="shared" si="2"/>
        <v>100</v>
      </c>
      <c r="X9" s="1598"/>
      <c r="Y9" s="3793"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39"/>
      <c r="Q11" s="781">
        <f t="shared" si="6"/>
        <v>111</v>
      </c>
      <c r="R11" s="1596" t="s">
        <v>1477</v>
      </c>
      <c r="S11" s="1597">
        <f t="shared" si="0"/>
        <v>100</v>
      </c>
      <c r="T11" s="1596" t="s">
        <v>1477</v>
      </c>
      <c r="U11" s="1597">
        <f t="shared" si="1"/>
        <v>100</v>
      </c>
      <c r="V11" s="1596" t="s">
        <v>1477</v>
      </c>
      <c r="W11" s="1597">
        <f t="shared" si="2"/>
        <v>100</v>
      </c>
      <c r="X11" s="1598"/>
      <c r="Y11" s="3793"/>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48"/>
      <c r="Q15" s="612"/>
      <c r="R15" s="1600"/>
      <c r="S15" s="1601"/>
      <c r="T15" s="1600"/>
      <c r="U15" s="1601"/>
      <c r="V15" s="1600"/>
      <c r="W15" s="1601"/>
      <c r="X15" s="1595"/>
      <c r="Y15" s="3848"/>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48"/>
      <c r="Q17" s="612"/>
      <c r="R17" s="1600"/>
      <c r="S17" s="1601"/>
      <c r="T17" s="1600"/>
      <c r="U17" s="1601"/>
      <c r="V17" s="1600"/>
      <c r="W17" s="1601"/>
      <c r="X17" s="1595"/>
      <c r="Y17" s="3848"/>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48"/>
      <c r="Q19" s="612"/>
      <c r="R19" s="1600"/>
      <c r="S19" s="1601"/>
      <c r="T19" s="1600"/>
      <c r="U19" s="1601"/>
      <c r="V19" s="1600"/>
      <c r="W19" s="1601"/>
      <c r="X19" s="1595"/>
      <c r="Y19" s="3848"/>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48"/>
      <c r="Q21" s="612"/>
      <c r="R21" s="1600"/>
      <c r="S21" s="1601"/>
      <c r="T21" s="1600"/>
      <c r="U21" s="1601"/>
      <c r="V21" s="1600"/>
      <c r="W21" s="1601"/>
      <c r="X21" s="1595"/>
      <c r="Y21" s="3848"/>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48"/>
      <c r="Q24" s="612">
        <f t="shared" ref="Q24:Q34"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88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49"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49"/>
      <c r="Q27" s="1790" t="str">
        <f t="shared" si="11"/>
        <v>成新率</v>
      </c>
      <c r="R27" s="1602" t="s">
        <v>1477</v>
      </c>
      <c r="S27" s="1603" t="e">
        <f t="shared" si="12"/>
        <v>#N/A</v>
      </c>
      <c r="T27" s="1602" t="s">
        <v>1477</v>
      </c>
      <c r="U27" s="1603" t="e">
        <f t="shared" si="13"/>
        <v>#N/A</v>
      </c>
      <c r="V27" s="1602" t="s">
        <v>1477</v>
      </c>
      <c r="W27" s="1603" t="e">
        <f t="shared" si="14"/>
        <v>#N/A</v>
      </c>
      <c r="X27" s="1604"/>
      <c r="Y27" s="3849"/>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49"/>
      <c r="Q28" s="612" t="str">
        <f t="shared" si="11"/>
        <v>物业等级</v>
      </c>
      <c r="R28" s="1600" t="s">
        <v>1477</v>
      </c>
      <c r="S28" s="1601">
        <f t="shared" si="12"/>
        <v>100</v>
      </c>
      <c r="T28" s="1600" t="s">
        <v>1477</v>
      </c>
      <c r="U28" s="1601">
        <f t="shared" si="13"/>
        <v>100</v>
      </c>
      <c r="V28" s="1600" t="s">
        <v>1477</v>
      </c>
      <c r="W28" s="1601">
        <f t="shared" si="14"/>
        <v>100</v>
      </c>
      <c r="X28" s="1595"/>
      <c r="Y28" s="3849"/>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49"/>
      <c r="Q29" s="612" t="str">
        <f t="shared" si="11"/>
        <v>有无电梯</v>
      </c>
      <c r="R29" s="1600" t="s">
        <v>1477</v>
      </c>
      <c r="S29" s="1601">
        <f t="shared" si="12"/>
        <v>100</v>
      </c>
      <c r="T29" s="1600" t="s">
        <v>1477</v>
      </c>
      <c r="U29" s="1601">
        <f t="shared" si="13"/>
        <v>100</v>
      </c>
      <c r="V29" s="1600" t="s">
        <v>1477</v>
      </c>
      <c r="W29" s="1601">
        <f t="shared" si="14"/>
        <v>100</v>
      </c>
      <c r="X29" s="1595"/>
      <c r="Y29" s="3849"/>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49"/>
      <c r="Q30" s="612" t="str">
        <f t="shared" si="11"/>
        <v>建筑面积</v>
      </c>
      <c r="R30" s="1600" t="s">
        <v>1477</v>
      </c>
      <c r="S30" s="1601" t="e">
        <f t="shared" si="12"/>
        <v>#N/A</v>
      </c>
      <c r="T30" s="1600" t="s">
        <v>1477</v>
      </c>
      <c r="U30" s="1601" t="e">
        <f t="shared" si="13"/>
        <v>#N/A</v>
      </c>
      <c r="V30" s="1600" t="s">
        <v>1477</v>
      </c>
      <c r="W30" s="1601" t="e">
        <f t="shared" si="14"/>
        <v>#N/A</v>
      </c>
      <c r="X30" s="1595"/>
      <c r="Y30" s="3849"/>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49"/>
      <c r="Q31" s="781" t="str">
        <f t="shared" si="11"/>
        <v>是否封闭</v>
      </c>
      <c r="R31" s="1596" t="s">
        <v>1477</v>
      </c>
      <c r="S31" s="1597">
        <f t="shared" si="12"/>
        <v>100</v>
      </c>
      <c r="T31" s="1596" t="s">
        <v>1477</v>
      </c>
      <c r="U31" s="1597">
        <f t="shared" si="13"/>
        <v>100</v>
      </c>
      <c r="V31" s="1596" t="s">
        <v>1477</v>
      </c>
      <c r="W31" s="1597">
        <f t="shared" si="14"/>
        <v>100</v>
      </c>
      <c r="X31" s="1598"/>
      <c r="Y31" s="3849"/>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49" t="s">
        <v>1508</v>
      </c>
      <c r="Q32" s="612">
        <f t="shared" si="11"/>
        <v>111</v>
      </c>
      <c r="R32" s="1600" t="s">
        <v>1477</v>
      </c>
      <c r="S32" s="1601">
        <f t="shared" si="12"/>
        <v>100</v>
      </c>
      <c r="T32" s="1600" t="s">
        <v>1477</v>
      </c>
      <c r="U32" s="1601">
        <f t="shared" si="13"/>
        <v>100</v>
      </c>
      <c r="V32" s="1600" t="s">
        <v>1477</v>
      </c>
      <c r="W32" s="1601">
        <f t="shared" si="14"/>
        <v>100</v>
      </c>
      <c r="X32" s="1595"/>
      <c r="Y32" s="3849"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49"/>
      <c r="Q33" s="612">
        <f t="shared" si="11"/>
        <v>111</v>
      </c>
      <c r="R33" s="1600" t="s">
        <v>1477</v>
      </c>
      <c r="S33" s="1601">
        <f t="shared" si="12"/>
        <v>100</v>
      </c>
      <c r="T33" s="1600" t="s">
        <v>1477</v>
      </c>
      <c r="U33" s="1601">
        <f t="shared" si="13"/>
        <v>100</v>
      </c>
      <c r="V33" s="1600" t="s">
        <v>1477</v>
      </c>
      <c r="W33" s="1601">
        <f t="shared" si="14"/>
        <v>100</v>
      </c>
      <c r="X33" s="1595"/>
      <c r="Y33" s="3849"/>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39" t="str">
        <f>A35</f>
        <v>成交单价（元/平方米）</v>
      </c>
      <c r="Q35" s="3839"/>
      <c r="R35" s="3840">
        <f>E35</f>
        <v>0</v>
      </c>
      <c r="S35" s="3840"/>
      <c r="T35" s="3840">
        <f>G35</f>
        <v>0</v>
      </c>
      <c r="U35" s="3840"/>
      <c r="V35" s="3840">
        <f>I35</f>
        <v>0</v>
      </c>
      <c r="W35" s="3840"/>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39" t="str">
        <f>A36</f>
        <v>比较价值（元/平方米）</v>
      </c>
      <c r="Q36" s="3839"/>
      <c r="R36" s="3840" t="e">
        <f>IF(F1="售价",ROUND(PRODUCT(R35,AA7:AA34),0),ROUND(PRODUCT(R35,AA7:AA34),1))</f>
        <v>#DIV/0!</v>
      </c>
      <c r="S36" s="3840"/>
      <c r="T36" s="3840" t="e">
        <f>IF(F1="售价",ROUND(PRODUCT(T35,AB7:AB34),0),ROUND(PRODUCT(T35,AB7:AB34),1))</f>
        <v>#DIV/0!</v>
      </c>
      <c r="U36" s="3840"/>
      <c r="V36" s="3840" t="e">
        <f>IF(F1="售价",ROUND(PRODUCT(V35,AC7:AC34),0),ROUND(PRODUCT(V35,AC7:AC34),1))</f>
        <v>#DIV/0!</v>
      </c>
      <c r="W36" s="3840"/>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51" t="str">
        <f>A37</f>
        <v>估价对象XX用房的比较价值（楼面单价，元/平方米）</v>
      </c>
      <c r="Q37" s="3852"/>
      <c r="R37" s="3887" t="e">
        <f>IF(F1="售价",ROUND(IF(D36="简单平均",AVERAGE(R36:W36),R36*F36+T36*H36+V36*J36),0),ROUND(IF(D36="简单平均",AVERAGE(R36:V36),R36*F36+T36*H36+V36*J36),1))</f>
        <v>#DIV/0!</v>
      </c>
      <c r="S37" s="3887"/>
      <c r="T37" s="3887"/>
      <c r="U37" s="3887"/>
      <c r="V37" s="3887"/>
      <c r="W37" s="388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2002-10</v>
      </c>
      <c r="D46" s="1782">
        <f>EDATE(C46,-1)</f>
        <v>37500</v>
      </c>
      <c r="E46" s="1782">
        <f t="shared" ref="E46:O46" si="16">EDATE(D46,-1)</f>
        <v>37469</v>
      </c>
      <c r="F46" s="1782">
        <f t="shared" si="16"/>
        <v>37438</v>
      </c>
      <c r="G46" s="1782">
        <f t="shared" si="16"/>
        <v>37408</v>
      </c>
      <c r="H46" s="1782">
        <f t="shared" si="16"/>
        <v>37377</v>
      </c>
      <c r="I46" s="1782">
        <f t="shared" si="16"/>
        <v>37347</v>
      </c>
      <c r="J46" s="1782">
        <f t="shared" si="16"/>
        <v>37316</v>
      </c>
      <c r="K46" s="1782">
        <f t="shared" si="16"/>
        <v>37288</v>
      </c>
      <c r="L46" s="1782">
        <f t="shared" si="16"/>
        <v>37257</v>
      </c>
      <c r="M46" s="1782">
        <f t="shared" si="16"/>
        <v>37226</v>
      </c>
      <c r="N46" s="1782">
        <f t="shared" si="16"/>
        <v>37196</v>
      </c>
      <c r="O46" s="1782">
        <f t="shared" si="16"/>
        <v>37165</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93"/>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39"/>
      <c r="Q12" s="781" t="str">
        <f t="shared" si="6"/>
        <v>配建</v>
      </c>
      <c r="R12" s="1596" t="s">
        <v>1477</v>
      </c>
      <c r="S12" s="1597">
        <f t="shared" si="0"/>
        <v>100</v>
      </c>
      <c r="T12" s="1596" t="s">
        <v>1477</v>
      </c>
      <c r="U12" s="1597">
        <f t="shared" si="1"/>
        <v>100</v>
      </c>
      <c r="V12" s="1596" t="s">
        <v>1477</v>
      </c>
      <c r="W12" s="1597">
        <f t="shared" si="2"/>
        <v>100</v>
      </c>
      <c r="X12" s="1598"/>
      <c r="Y12" s="3793"/>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47"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48"/>
      <c r="Q17" s="612" t="str">
        <f>B17</f>
        <v>商业繁华度</v>
      </c>
      <c r="R17" s="1600" t="s">
        <v>1477</v>
      </c>
      <c r="S17" s="1601">
        <f>F17</f>
        <v>100</v>
      </c>
      <c r="T17" s="1600" t="s">
        <v>1477</v>
      </c>
      <c r="U17" s="1601">
        <f>H17</f>
        <v>100</v>
      </c>
      <c r="V17" s="1600" t="s">
        <v>1477</v>
      </c>
      <c r="W17" s="1601">
        <f>J17</f>
        <v>100</v>
      </c>
      <c r="X17" s="1595"/>
      <c r="Y17" s="3848"/>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48"/>
      <c r="Q19" s="612" t="str">
        <f>B19</f>
        <v>办公集聚程度</v>
      </c>
      <c r="R19" s="1600" t="s">
        <v>1477</v>
      </c>
      <c r="S19" s="1601">
        <f>F19</f>
        <v>100</v>
      </c>
      <c r="T19" s="1600" t="s">
        <v>1477</v>
      </c>
      <c r="U19" s="1601">
        <f>H19</f>
        <v>100</v>
      </c>
      <c r="V19" s="1600" t="s">
        <v>1477</v>
      </c>
      <c r="W19" s="1601">
        <f>J19</f>
        <v>100</v>
      </c>
      <c r="X19" s="1595"/>
      <c r="Y19" s="3848"/>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48"/>
      <c r="Q20" s="612"/>
      <c r="R20" s="1600"/>
      <c r="S20" s="1601"/>
      <c r="T20" s="1600"/>
      <c r="U20" s="1601"/>
      <c r="V20" s="1600"/>
      <c r="W20" s="1601"/>
      <c r="X20" s="1595"/>
      <c r="Y20" s="3848"/>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48"/>
      <c r="Q21" s="612" t="str">
        <f>B21</f>
        <v>交通便捷度</v>
      </c>
      <c r="R21" s="1600" t="s">
        <v>1477</v>
      </c>
      <c r="S21" s="1601">
        <f>F21</f>
        <v>100</v>
      </c>
      <c r="T21" s="1600" t="s">
        <v>1477</v>
      </c>
      <c r="U21" s="1601">
        <f>H21</f>
        <v>100</v>
      </c>
      <c r="V21" s="1600" t="s">
        <v>1477</v>
      </c>
      <c r="W21" s="1601">
        <f>J21</f>
        <v>100</v>
      </c>
      <c r="X21" s="1595"/>
      <c r="Y21" s="3848"/>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48"/>
      <c r="Q23" s="612" t="str">
        <f t="shared" ref="Q23:Q38" si="8">B23</f>
        <v>区域土地利用方向</v>
      </c>
      <c r="R23" s="1600" t="s">
        <v>1477</v>
      </c>
      <c r="S23" s="1601">
        <f>F23</f>
        <v>100</v>
      </c>
      <c r="T23" s="1600" t="s">
        <v>1477</v>
      </c>
      <c r="U23" s="1601">
        <f>H23</f>
        <v>100</v>
      </c>
      <c r="V23" s="1600" t="s">
        <v>1477</v>
      </c>
      <c r="W23" s="1601">
        <f>J23</f>
        <v>100</v>
      </c>
      <c r="X23" s="1595"/>
      <c r="Y23" s="3848"/>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48"/>
      <c r="Q24" s="612"/>
      <c r="R24" s="1600"/>
      <c r="S24" s="1601"/>
      <c r="T24" s="1600"/>
      <c r="U24" s="1601"/>
      <c r="V24" s="1600"/>
      <c r="W24" s="1601"/>
      <c r="X24" s="1595"/>
      <c r="Y24" s="3848"/>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48"/>
      <c r="Q25" s="612" t="str">
        <f t="shared" si="8"/>
        <v>自然及人文环境状况</v>
      </c>
      <c r="R25" s="1600" t="s">
        <v>1477</v>
      </c>
      <c r="S25" s="1601">
        <f>F25</f>
        <v>100</v>
      </c>
      <c r="T25" s="1600" t="s">
        <v>1477</v>
      </c>
      <c r="U25" s="1601">
        <f>H25</f>
        <v>100</v>
      </c>
      <c r="V25" s="1600" t="s">
        <v>1477</v>
      </c>
      <c r="W25" s="1601">
        <f>J25</f>
        <v>100</v>
      </c>
      <c r="X25" s="1595"/>
      <c r="Y25" s="3848"/>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48"/>
      <c r="Q26" s="612"/>
      <c r="R26" s="1600"/>
      <c r="S26" s="1601"/>
      <c r="T26" s="1600"/>
      <c r="U26" s="1601"/>
      <c r="V26" s="1600"/>
      <c r="W26" s="1601"/>
      <c r="X26" s="1595"/>
      <c r="Y26" s="3848"/>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48"/>
      <c r="Q27" s="781" t="str">
        <f t="shared" si="8"/>
        <v>公共配套设施</v>
      </c>
      <c r="R27" s="1596" t="s">
        <v>1477</v>
      </c>
      <c r="S27" s="1597">
        <f>F27</f>
        <v>100</v>
      </c>
      <c r="T27" s="1596" t="s">
        <v>1477</v>
      </c>
      <c r="U27" s="1597">
        <f>H27</f>
        <v>100</v>
      </c>
      <c r="V27" s="1596" t="s">
        <v>1477</v>
      </c>
      <c r="W27" s="1597">
        <f>J27</f>
        <v>100</v>
      </c>
      <c r="X27" s="1598"/>
      <c r="Y27" s="3848"/>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48"/>
      <c r="Q28" s="781"/>
      <c r="R28" s="1596"/>
      <c r="S28" s="1597"/>
      <c r="T28" s="1596"/>
      <c r="U28" s="1597"/>
      <c r="V28" s="1596"/>
      <c r="W28" s="1597"/>
      <c r="X28" s="1598"/>
      <c r="Y28" s="3848"/>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48"/>
      <c r="Q29" s="781" t="str">
        <f t="shared" ref="Q29" si="9">B29</f>
        <v>基础设施水平</v>
      </c>
      <c r="R29" s="1596" t="s">
        <v>1477</v>
      </c>
      <c r="S29" s="1597">
        <f>F29</f>
        <v>100</v>
      </c>
      <c r="T29" s="1596" t="s">
        <v>1477</v>
      </c>
      <c r="U29" s="1597">
        <f>H29</f>
        <v>100</v>
      </c>
      <c r="V29" s="1596" t="s">
        <v>1477</v>
      </c>
      <c r="W29" s="1597">
        <f>J29</f>
        <v>100</v>
      </c>
      <c r="X29" s="1598"/>
      <c r="Y29" s="3848"/>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48"/>
      <c r="Q30" s="781"/>
      <c r="R30" s="1596"/>
      <c r="S30" s="1597"/>
      <c r="T30" s="1596"/>
      <c r="U30" s="1597"/>
      <c r="V30" s="1596"/>
      <c r="W30" s="1597"/>
      <c r="X30" s="1598"/>
      <c r="Y30" s="3848"/>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48"/>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48"/>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48"/>
      <c r="Q32" s="612" t="str">
        <f t="shared" si="8"/>
        <v>毗邻道路的类型与等级</v>
      </c>
      <c r="R32" s="1600" t="s">
        <v>1477</v>
      </c>
      <c r="S32" s="1601">
        <f t="shared" si="10"/>
        <v>100</v>
      </c>
      <c r="T32" s="1600" t="s">
        <v>1477</v>
      </c>
      <c r="U32" s="1601">
        <f t="shared" si="11"/>
        <v>100</v>
      </c>
      <c r="V32" s="1600" t="s">
        <v>1477</v>
      </c>
      <c r="W32" s="1601">
        <f t="shared" si="12"/>
        <v>100</v>
      </c>
      <c r="X32" s="1595"/>
      <c r="Y32" s="3848"/>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48"/>
      <c r="Q33" s="612"/>
      <c r="R33" s="1600"/>
      <c r="S33" s="1601"/>
      <c r="T33" s="1600"/>
      <c r="U33" s="1601"/>
      <c r="V33" s="1600"/>
      <c r="W33" s="1601"/>
      <c r="X33" s="1595"/>
      <c r="Y33" s="3848"/>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48"/>
      <c r="Q34" s="612" t="str">
        <f t="shared" si="8"/>
        <v>土地级别</v>
      </c>
      <c r="R34" s="1600" t="s">
        <v>1477</v>
      </c>
      <c r="S34" s="1601">
        <f t="shared" si="10"/>
        <v>100</v>
      </c>
      <c r="T34" s="1600" t="s">
        <v>1477</v>
      </c>
      <c r="U34" s="1601">
        <f t="shared" si="11"/>
        <v>100</v>
      </c>
      <c r="V34" s="1600" t="s">
        <v>1477</v>
      </c>
      <c r="W34" s="1601">
        <f t="shared" si="12"/>
        <v>100</v>
      </c>
      <c r="X34" s="1595"/>
      <c r="Y34" s="3848"/>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48"/>
      <c r="Q35" s="612">
        <f t="shared" si="8"/>
        <v>111</v>
      </c>
      <c r="R35" s="1600" t="s">
        <v>1477</v>
      </c>
      <c r="S35" s="1601">
        <f t="shared" si="10"/>
        <v>100</v>
      </c>
      <c r="T35" s="1600" t="s">
        <v>1477</v>
      </c>
      <c r="U35" s="1601">
        <f t="shared" si="11"/>
        <v>100</v>
      </c>
      <c r="V35" s="1600" t="s">
        <v>1477</v>
      </c>
      <c r="W35" s="1601">
        <f t="shared" si="12"/>
        <v>100</v>
      </c>
      <c r="X35" s="1595"/>
      <c r="Y35" s="3848"/>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886" t="s">
        <v>1508</v>
      </c>
      <c r="Q36" s="612">
        <f t="shared" si="8"/>
        <v>111</v>
      </c>
      <c r="R36" s="1600" t="s">
        <v>1477</v>
      </c>
      <c r="S36" s="1601">
        <f t="shared" si="10"/>
        <v>100</v>
      </c>
      <c r="T36" s="1600" t="s">
        <v>1477</v>
      </c>
      <c r="U36" s="1601">
        <f t="shared" si="11"/>
        <v>100</v>
      </c>
      <c r="V36" s="1600" t="s">
        <v>1477</v>
      </c>
      <c r="W36" s="1601">
        <f t="shared" si="12"/>
        <v>100</v>
      </c>
      <c r="X36" s="1595"/>
      <c r="Y36" s="3849"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49"/>
      <c r="Q37" s="612">
        <f t="shared" si="8"/>
        <v>111</v>
      </c>
      <c r="R37" s="1602" t="s">
        <v>1477</v>
      </c>
      <c r="S37" s="1603">
        <f t="shared" si="10"/>
        <v>100</v>
      </c>
      <c r="T37" s="1602" t="s">
        <v>1477</v>
      </c>
      <c r="U37" s="1603">
        <f t="shared" si="11"/>
        <v>100</v>
      </c>
      <c r="V37" s="1602" t="s">
        <v>1477</v>
      </c>
      <c r="W37" s="1603">
        <f t="shared" si="12"/>
        <v>100</v>
      </c>
      <c r="X37" s="1604"/>
      <c r="Y37" s="3849"/>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49"/>
      <c r="Q38" s="612" t="str">
        <f t="shared" si="8"/>
        <v>宗地面积</v>
      </c>
      <c r="R38" s="1600" t="s">
        <v>1477</v>
      </c>
      <c r="S38" s="1601" t="e">
        <f t="shared" si="10"/>
        <v>#N/A</v>
      </c>
      <c r="T38" s="1600" t="s">
        <v>1477</v>
      </c>
      <c r="U38" s="1601" t="e">
        <f t="shared" si="11"/>
        <v>#N/A</v>
      </c>
      <c r="V38" s="1600" t="s">
        <v>1477</v>
      </c>
      <c r="W38" s="1601" t="e">
        <f t="shared" si="12"/>
        <v>#N/A</v>
      </c>
      <c r="X38" s="1595"/>
      <c r="Y38" s="3849"/>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49"/>
      <c r="Q39" s="612" t="str">
        <f t="shared" ref="Q39:Q45" si="14">B39</f>
        <v>宗地形状</v>
      </c>
      <c r="R39" s="1600" t="s">
        <v>1477</v>
      </c>
      <c r="S39" s="1601">
        <f t="shared" si="10"/>
        <v>100</v>
      </c>
      <c r="T39" s="1600" t="s">
        <v>1477</v>
      </c>
      <c r="U39" s="1601">
        <f t="shared" si="11"/>
        <v>100</v>
      </c>
      <c r="V39" s="1600" t="s">
        <v>1477</v>
      </c>
      <c r="W39" s="1601">
        <f t="shared" si="12"/>
        <v>100</v>
      </c>
      <c r="X39" s="1595"/>
      <c r="Y39" s="3849"/>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49"/>
      <c r="Q40" s="612" t="str">
        <f t="shared" si="14"/>
        <v>临街宽度及深度</v>
      </c>
      <c r="R40" s="1600" t="s">
        <v>1477</v>
      </c>
      <c r="S40" s="1601">
        <f t="shared" si="10"/>
        <v>100</v>
      </c>
      <c r="T40" s="1600" t="s">
        <v>1477</v>
      </c>
      <c r="U40" s="1601">
        <f t="shared" si="11"/>
        <v>100</v>
      </c>
      <c r="V40" s="1600" t="s">
        <v>1477</v>
      </c>
      <c r="W40" s="1601">
        <f t="shared" si="12"/>
        <v>100</v>
      </c>
      <c r="X40" s="1595"/>
      <c r="Y40" s="3849"/>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49"/>
      <c r="Q41" s="612" t="str">
        <f t="shared" si="14"/>
        <v>宗地开发程度</v>
      </c>
      <c r="R41" s="1596" t="s">
        <v>1477</v>
      </c>
      <c r="S41" s="1597">
        <f t="shared" si="10"/>
        <v>100</v>
      </c>
      <c r="T41" s="1596" t="s">
        <v>1477</v>
      </c>
      <c r="U41" s="1597">
        <f t="shared" si="11"/>
        <v>100</v>
      </c>
      <c r="V41" s="1596" t="s">
        <v>1477</v>
      </c>
      <c r="W41" s="1597">
        <f t="shared" si="12"/>
        <v>100</v>
      </c>
      <c r="X41" s="1598"/>
      <c r="Y41" s="3849"/>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49" t="s">
        <v>1508</v>
      </c>
      <c r="Q42" s="612" t="str">
        <f t="shared" si="14"/>
        <v>工程地质条件</v>
      </c>
      <c r="R42" s="1600" t="s">
        <v>1477</v>
      </c>
      <c r="S42" s="1601">
        <f t="shared" si="10"/>
        <v>100</v>
      </c>
      <c r="T42" s="1600" t="s">
        <v>1477</v>
      </c>
      <c r="U42" s="1601">
        <f t="shared" si="11"/>
        <v>100</v>
      </c>
      <c r="V42" s="1600" t="s">
        <v>1477</v>
      </c>
      <c r="W42" s="1601">
        <f t="shared" si="12"/>
        <v>100</v>
      </c>
      <c r="X42" s="1595"/>
      <c r="Y42" s="3849"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49"/>
      <c r="Q43" s="612">
        <f t="shared" si="14"/>
        <v>111</v>
      </c>
      <c r="R43" s="1600" t="s">
        <v>1477</v>
      </c>
      <c r="S43" s="1601">
        <f t="shared" si="10"/>
        <v>100</v>
      </c>
      <c r="T43" s="1600" t="s">
        <v>1477</v>
      </c>
      <c r="U43" s="1601">
        <f t="shared" si="11"/>
        <v>100</v>
      </c>
      <c r="V43" s="1600" t="s">
        <v>1477</v>
      </c>
      <c r="W43" s="1601">
        <f t="shared" si="12"/>
        <v>100</v>
      </c>
      <c r="X43" s="1595"/>
      <c r="Y43" s="3849"/>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49"/>
      <c r="Q44" s="612">
        <f t="shared" si="14"/>
        <v>111</v>
      </c>
      <c r="R44" s="1600" t="s">
        <v>1477</v>
      </c>
      <c r="S44" s="1601">
        <f t="shared" si="10"/>
        <v>100</v>
      </c>
      <c r="T44" s="1600" t="s">
        <v>1477</v>
      </c>
      <c r="U44" s="1601">
        <f t="shared" si="11"/>
        <v>100</v>
      </c>
      <c r="V44" s="1600" t="s">
        <v>1477</v>
      </c>
      <c r="W44" s="1601">
        <f t="shared" si="12"/>
        <v>100</v>
      </c>
      <c r="X44" s="1595"/>
      <c r="Y44" s="3849"/>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49"/>
      <c r="Q45" s="612">
        <f t="shared" si="14"/>
        <v>111</v>
      </c>
      <c r="R45" s="1602" t="s">
        <v>1477</v>
      </c>
      <c r="S45" s="1603">
        <f t="shared" si="10"/>
        <v>100</v>
      </c>
      <c r="T45" s="1602" t="s">
        <v>1477</v>
      </c>
      <c r="U45" s="1603">
        <f t="shared" si="11"/>
        <v>100</v>
      </c>
      <c r="V45" s="1602" t="s">
        <v>1477</v>
      </c>
      <c r="W45" s="1603">
        <f t="shared" si="12"/>
        <v>100</v>
      </c>
      <c r="X45" s="1604"/>
      <c r="Y45" s="3849"/>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39" t="str">
        <f>A46</f>
        <v>成交单价</v>
      </c>
      <c r="Q46" s="3839"/>
      <c r="R46" s="3840">
        <f>E46</f>
        <v>0</v>
      </c>
      <c r="S46" s="3840"/>
      <c r="T46" s="3840">
        <f>G46</f>
        <v>0</v>
      </c>
      <c r="U46" s="3840"/>
      <c r="V46" s="3840">
        <f>I46</f>
        <v>0</v>
      </c>
      <c r="W46" s="3840"/>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39" t="str">
        <f>A47</f>
        <v>比较价值（元/平方米）</v>
      </c>
      <c r="Q47" s="3839"/>
      <c r="R47" s="3889" t="e">
        <f>ROUND(PRODUCT(R46,AA7:AA45),0)</f>
        <v>#DIV/0!</v>
      </c>
      <c r="S47" s="3889"/>
      <c r="T47" s="3889" t="e">
        <f>ROUND(PRODUCT(T46,AB7:AB45),0)</f>
        <v>#DIV/0!</v>
      </c>
      <c r="U47" s="3889"/>
      <c r="V47" s="3889" t="e">
        <f>ROUND(PRODUCT(V46,AC7:AC45),0)</f>
        <v>#DIV/0!</v>
      </c>
      <c r="W47" s="388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51" t="str">
        <f>A48</f>
        <v>估价对象XX用房的比较价值（楼面单价，元/平方米）</v>
      </c>
      <c r="Q48" s="3852"/>
      <c r="R48" s="3890" t="e">
        <f>ROUND(IF(D47="简单平均",AVERAGE(R47:W47),R47*F47+T47*H47+V47*J47),0)</f>
        <v>#DIV/0!</v>
      </c>
      <c r="S48" s="3890"/>
      <c r="T48" s="3890"/>
      <c r="U48" s="3890"/>
      <c r="V48" s="3890"/>
      <c r="W48" s="389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23" t="s">
        <v>1646</v>
      </c>
      <c r="H55" s="388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100.28</v>
      </c>
      <c r="F56" s="1724" t="e">
        <f t="shared" ref="F56:F64" si="15">ROUND(B56*E56/10000,0)</f>
        <v>#DIV/0!</v>
      </c>
      <c r="G56" s="3841"/>
      <c r="H56" s="383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100.28</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2002-10-1</v>
      </c>
      <c r="D67" s="1535">
        <f>EDATE(C67,-3)</f>
        <v>37438</v>
      </c>
      <c r="E67" s="1535">
        <f>EDATE(D67,-3)</f>
        <v>37347</v>
      </c>
      <c r="F67" s="1535">
        <f t="shared" ref="F67:O67" si="18">EDATE(E67,-3)</f>
        <v>37257</v>
      </c>
      <c r="G67" s="1535">
        <f t="shared" si="18"/>
        <v>37165</v>
      </c>
      <c r="H67" s="1535">
        <f t="shared" si="18"/>
        <v>37073</v>
      </c>
      <c r="I67" s="1535">
        <f t="shared" si="18"/>
        <v>36982</v>
      </c>
      <c r="J67" s="1535">
        <f t="shared" si="18"/>
        <v>36892</v>
      </c>
      <c r="K67" s="1535">
        <f t="shared" si="18"/>
        <v>36800</v>
      </c>
      <c r="L67" s="1535">
        <f t="shared" si="18"/>
        <v>36708</v>
      </c>
      <c r="M67" s="1535">
        <f t="shared" si="18"/>
        <v>36617</v>
      </c>
      <c r="N67" s="1535">
        <f t="shared" si="18"/>
        <v>36526</v>
      </c>
      <c r="O67" s="1535">
        <f t="shared" si="18"/>
        <v>36434</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2002-4</v>
      </c>
      <c r="D69" s="1613" t="str">
        <f>YEAR(D67)&amp;"-"&amp;ROUNDUP(MONTH(D67)/3,0)</f>
        <v>2002-3</v>
      </c>
      <c r="E69" s="1613" t="str">
        <f t="shared" ref="E69:O69" si="19">YEAR(E67)&amp;"-"&amp;ROUNDUP(MONTH(E67)/3,0)</f>
        <v>2002-2</v>
      </c>
      <c r="F69" s="1613" t="str">
        <f t="shared" si="19"/>
        <v>2002-1</v>
      </c>
      <c r="G69" s="1613" t="str">
        <f t="shared" si="19"/>
        <v>2001-4</v>
      </c>
      <c r="H69" s="1613" t="str">
        <f t="shared" si="19"/>
        <v>2001-3</v>
      </c>
      <c r="I69" s="1613" t="str">
        <f t="shared" si="19"/>
        <v>2001-2</v>
      </c>
      <c r="J69" s="1613" t="str">
        <f t="shared" si="19"/>
        <v>2001-1</v>
      </c>
      <c r="K69" s="1613" t="str">
        <f t="shared" si="19"/>
        <v>2000-4</v>
      </c>
      <c r="L69" s="1613" t="str">
        <f t="shared" si="19"/>
        <v>2000-3</v>
      </c>
      <c r="M69" s="1613" t="str">
        <f t="shared" si="19"/>
        <v>2000-2</v>
      </c>
      <c r="N69" s="1613" t="str">
        <f t="shared" si="19"/>
        <v>2000-1</v>
      </c>
      <c r="O69" s="1613" t="str">
        <f t="shared" si="19"/>
        <v>1999-4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91" t="s">
        <v>1670</v>
      </c>
      <c r="D6" s="3892"/>
      <c r="E6" s="3893" t="s">
        <v>1670</v>
      </c>
      <c r="F6" s="3894"/>
      <c r="G6" s="3891" t="s">
        <v>1670</v>
      </c>
      <c r="H6" s="3892"/>
      <c r="I6" s="3891" t="s">
        <v>1670</v>
      </c>
      <c r="J6" s="3892"/>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93"/>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48"/>
      <c r="Q19" s="612" t="str">
        <f t="shared" ref="Q19:Q34" si="8">B19</f>
        <v>区域土地利用方向</v>
      </c>
      <c r="R19" s="1600" t="s">
        <v>1477</v>
      </c>
      <c r="S19" s="1601">
        <f>F19</f>
        <v>100</v>
      </c>
      <c r="T19" s="1600" t="s">
        <v>1477</v>
      </c>
      <c r="U19" s="1601">
        <f>H19</f>
        <v>100</v>
      </c>
      <c r="V19" s="1600" t="s">
        <v>1477</v>
      </c>
      <c r="W19" s="1601">
        <f>J19</f>
        <v>100</v>
      </c>
      <c r="X19" s="1595"/>
      <c r="Y19" s="3848"/>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48"/>
      <c r="Q20" s="612"/>
      <c r="R20" s="1600"/>
      <c r="S20" s="1601"/>
      <c r="T20" s="1600"/>
      <c r="U20" s="1601"/>
      <c r="V20" s="1600"/>
      <c r="W20" s="1601"/>
      <c r="X20" s="1595"/>
      <c r="Y20" s="3848"/>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48"/>
      <c r="Q21" s="612" t="str">
        <f t="shared" si="8"/>
        <v>环境状况</v>
      </c>
      <c r="R21" s="1600" t="s">
        <v>1477</v>
      </c>
      <c r="S21" s="1601">
        <f>F21</f>
        <v>100</v>
      </c>
      <c r="T21" s="1600" t="s">
        <v>1477</v>
      </c>
      <c r="U21" s="1601">
        <f>H21</f>
        <v>100</v>
      </c>
      <c r="V21" s="1600" t="s">
        <v>1477</v>
      </c>
      <c r="W21" s="1601">
        <f>J21</f>
        <v>100</v>
      </c>
      <c r="X21" s="1595"/>
      <c r="Y21" s="3848"/>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48"/>
      <c r="Q23" s="781" t="str">
        <f t="shared" si="8"/>
        <v>公共配套设施</v>
      </c>
      <c r="R23" s="1596" t="s">
        <v>1477</v>
      </c>
      <c r="S23" s="1597">
        <f>F23</f>
        <v>100</v>
      </c>
      <c r="T23" s="1596" t="s">
        <v>1477</v>
      </c>
      <c r="U23" s="1597">
        <f>H23</f>
        <v>100</v>
      </c>
      <c r="V23" s="1596" t="s">
        <v>1477</v>
      </c>
      <c r="W23" s="1597">
        <f>J23</f>
        <v>100</v>
      </c>
      <c r="X23" s="1598"/>
      <c r="Y23" s="3848"/>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48"/>
      <c r="Q24" s="781"/>
      <c r="R24" s="1596"/>
      <c r="S24" s="1597"/>
      <c r="T24" s="1596"/>
      <c r="U24" s="1597"/>
      <c r="V24" s="1596"/>
      <c r="W24" s="1597"/>
      <c r="X24" s="1598"/>
      <c r="Y24" s="3848"/>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48"/>
      <c r="Q25" s="781" t="str">
        <f t="shared" ref="Q25" si="9">B25</f>
        <v>基础设施水平</v>
      </c>
      <c r="R25" s="1596" t="s">
        <v>1477</v>
      </c>
      <c r="S25" s="1597">
        <f>F25</f>
        <v>100</v>
      </c>
      <c r="T25" s="1596" t="s">
        <v>1477</v>
      </c>
      <c r="U25" s="1597">
        <f>H25</f>
        <v>100</v>
      </c>
      <c r="V25" s="1596" t="s">
        <v>1477</v>
      </c>
      <c r="W25" s="1597">
        <f>J25</f>
        <v>100</v>
      </c>
      <c r="X25" s="1598"/>
      <c r="Y25" s="3848"/>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48"/>
      <c r="Q26" s="781"/>
      <c r="R26" s="1596"/>
      <c r="S26" s="1597"/>
      <c r="T26" s="1596"/>
      <c r="U26" s="1597"/>
      <c r="V26" s="1596"/>
      <c r="W26" s="1597"/>
      <c r="X26" s="1598"/>
      <c r="Y26" s="3848"/>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48"/>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48"/>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48"/>
      <c r="Q28" s="612" t="str">
        <f t="shared" si="8"/>
        <v>毗邻道路的类型与等级</v>
      </c>
      <c r="R28" s="1600" t="s">
        <v>1477</v>
      </c>
      <c r="S28" s="1601">
        <f t="shared" si="10"/>
        <v>100</v>
      </c>
      <c r="T28" s="1600" t="s">
        <v>1477</v>
      </c>
      <c r="U28" s="1601">
        <f t="shared" si="11"/>
        <v>100</v>
      </c>
      <c r="V28" s="1600" t="s">
        <v>1477</v>
      </c>
      <c r="W28" s="1601">
        <f t="shared" si="12"/>
        <v>100</v>
      </c>
      <c r="X28" s="1595"/>
      <c r="Y28" s="3848"/>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48"/>
      <c r="Q29" s="612"/>
      <c r="R29" s="1600"/>
      <c r="S29" s="1601"/>
      <c r="T29" s="1600"/>
      <c r="U29" s="1601"/>
      <c r="V29" s="1600"/>
      <c r="W29" s="1601"/>
      <c r="X29" s="1595"/>
      <c r="Y29" s="3848"/>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48"/>
      <c r="Q30" s="612" t="str">
        <f t="shared" si="8"/>
        <v>土地级别</v>
      </c>
      <c r="R30" s="1600" t="s">
        <v>1477</v>
      </c>
      <c r="S30" s="1601">
        <f t="shared" si="10"/>
        <v>100</v>
      </c>
      <c r="T30" s="1600" t="s">
        <v>1477</v>
      </c>
      <c r="U30" s="1601">
        <f t="shared" si="11"/>
        <v>100</v>
      </c>
      <c r="V30" s="1600" t="s">
        <v>1477</v>
      </c>
      <c r="W30" s="1601">
        <f t="shared" si="12"/>
        <v>100</v>
      </c>
      <c r="X30" s="1595"/>
      <c r="Y30" s="3848"/>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48"/>
      <c r="Q31" s="612">
        <f t="shared" si="8"/>
        <v>111</v>
      </c>
      <c r="R31" s="1600" t="s">
        <v>1477</v>
      </c>
      <c r="S31" s="1601">
        <f t="shared" si="10"/>
        <v>100</v>
      </c>
      <c r="T31" s="1600" t="s">
        <v>1477</v>
      </c>
      <c r="U31" s="1601">
        <f t="shared" si="11"/>
        <v>100</v>
      </c>
      <c r="V31" s="1600" t="s">
        <v>1477</v>
      </c>
      <c r="W31" s="1601">
        <f t="shared" si="12"/>
        <v>100</v>
      </c>
      <c r="X31" s="1595"/>
      <c r="Y31" s="3848"/>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886" t="s">
        <v>1508</v>
      </c>
      <c r="Q32" s="612">
        <f t="shared" si="8"/>
        <v>111</v>
      </c>
      <c r="R32" s="1600" t="s">
        <v>1477</v>
      </c>
      <c r="S32" s="1601">
        <f t="shared" si="10"/>
        <v>100</v>
      </c>
      <c r="T32" s="1600" t="s">
        <v>1477</v>
      </c>
      <c r="U32" s="1601">
        <f t="shared" si="11"/>
        <v>100</v>
      </c>
      <c r="V32" s="1600" t="s">
        <v>1477</v>
      </c>
      <c r="W32" s="1601">
        <f t="shared" si="12"/>
        <v>100</v>
      </c>
      <c r="X32" s="1595"/>
      <c r="Y32" s="3849"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49"/>
      <c r="Q33" s="612">
        <f t="shared" si="8"/>
        <v>111</v>
      </c>
      <c r="R33" s="1602" t="s">
        <v>1477</v>
      </c>
      <c r="S33" s="1603">
        <f t="shared" si="10"/>
        <v>100</v>
      </c>
      <c r="T33" s="1602" t="s">
        <v>1477</v>
      </c>
      <c r="U33" s="1603">
        <f t="shared" si="11"/>
        <v>100</v>
      </c>
      <c r="V33" s="1602" t="s">
        <v>1477</v>
      </c>
      <c r="W33" s="1603">
        <f t="shared" si="12"/>
        <v>100</v>
      </c>
      <c r="X33" s="1604"/>
      <c r="Y33" s="3849"/>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49"/>
      <c r="Q34" s="612" t="str">
        <f t="shared" si="8"/>
        <v>宗地面积</v>
      </c>
      <c r="R34" s="1600" t="s">
        <v>1477</v>
      </c>
      <c r="S34" s="1601" t="e">
        <f t="shared" si="10"/>
        <v>#N/A</v>
      </c>
      <c r="T34" s="1600" t="s">
        <v>1477</v>
      </c>
      <c r="U34" s="1601" t="e">
        <f t="shared" si="11"/>
        <v>#N/A</v>
      </c>
      <c r="V34" s="1600" t="s">
        <v>1477</v>
      </c>
      <c r="W34" s="1601" t="e">
        <f t="shared" si="12"/>
        <v>#N/A</v>
      </c>
      <c r="X34" s="1595"/>
      <c r="Y34" s="3849"/>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49"/>
      <c r="Q35" s="612" t="str">
        <f t="shared" ref="Q35:Q40" si="14">B35</f>
        <v>宗地形状</v>
      </c>
      <c r="R35" s="1600" t="s">
        <v>1477</v>
      </c>
      <c r="S35" s="1601">
        <f t="shared" si="10"/>
        <v>100</v>
      </c>
      <c r="T35" s="1600" t="s">
        <v>1477</v>
      </c>
      <c r="U35" s="1601">
        <f t="shared" si="11"/>
        <v>100</v>
      </c>
      <c r="V35" s="1600" t="s">
        <v>1477</v>
      </c>
      <c r="W35" s="1601">
        <f t="shared" si="12"/>
        <v>100</v>
      </c>
      <c r="X35" s="1595"/>
      <c r="Y35" s="3849"/>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49"/>
      <c r="Q36" s="612" t="str">
        <f t="shared" si="14"/>
        <v>宗地开发程度</v>
      </c>
      <c r="R36" s="1596" t="s">
        <v>1477</v>
      </c>
      <c r="S36" s="1597">
        <f t="shared" si="10"/>
        <v>100</v>
      </c>
      <c r="T36" s="1596" t="s">
        <v>1477</v>
      </c>
      <c r="U36" s="1597">
        <f t="shared" si="11"/>
        <v>100</v>
      </c>
      <c r="V36" s="1596" t="s">
        <v>1477</v>
      </c>
      <c r="W36" s="1597">
        <f t="shared" si="12"/>
        <v>100</v>
      </c>
      <c r="X36" s="1598"/>
      <c r="Y36" s="3849"/>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49" t="s">
        <v>1508</v>
      </c>
      <c r="Q37" s="612" t="str">
        <f t="shared" si="14"/>
        <v>工程地质条件</v>
      </c>
      <c r="R37" s="1600" t="s">
        <v>1477</v>
      </c>
      <c r="S37" s="1601">
        <f t="shared" si="10"/>
        <v>100</v>
      </c>
      <c r="T37" s="1600" t="s">
        <v>1477</v>
      </c>
      <c r="U37" s="1601">
        <f t="shared" si="11"/>
        <v>100</v>
      </c>
      <c r="V37" s="1600" t="s">
        <v>1477</v>
      </c>
      <c r="W37" s="1601">
        <f t="shared" si="12"/>
        <v>100</v>
      </c>
      <c r="X37" s="1595"/>
      <c r="Y37" s="3849"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49"/>
      <c r="Q38" s="612">
        <f t="shared" si="14"/>
        <v>111</v>
      </c>
      <c r="R38" s="1600" t="s">
        <v>1477</v>
      </c>
      <c r="S38" s="1601">
        <f t="shared" si="10"/>
        <v>100</v>
      </c>
      <c r="T38" s="1600" t="s">
        <v>1477</v>
      </c>
      <c r="U38" s="1601">
        <f t="shared" si="11"/>
        <v>100</v>
      </c>
      <c r="V38" s="1600" t="s">
        <v>1477</v>
      </c>
      <c r="W38" s="1601">
        <f t="shared" si="12"/>
        <v>100</v>
      </c>
      <c r="X38" s="1595"/>
      <c r="Y38" s="3849"/>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49"/>
      <c r="Q39" s="612">
        <f t="shared" si="14"/>
        <v>111</v>
      </c>
      <c r="R39" s="1600" t="s">
        <v>1477</v>
      </c>
      <c r="S39" s="1601">
        <f t="shared" si="10"/>
        <v>100</v>
      </c>
      <c r="T39" s="1600" t="s">
        <v>1477</v>
      </c>
      <c r="U39" s="1601">
        <f t="shared" si="11"/>
        <v>100</v>
      </c>
      <c r="V39" s="1600" t="s">
        <v>1477</v>
      </c>
      <c r="W39" s="1601">
        <f t="shared" si="12"/>
        <v>100</v>
      </c>
      <c r="X39" s="1595"/>
      <c r="Y39" s="3849"/>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49"/>
      <c r="Q40" s="612">
        <f t="shared" si="14"/>
        <v>111</v>
      </c>
      <c r="R40" s="1602" t="s">
        <v>1477</v>
      </c>
      <c r="S40" s="1603">
        <f t="shared" si="10"/>
        <v>100</v>
      </c>
      <c r="T40" s="1602" t="s">
        <v>1477</v>
      </c>
      <c r="U40" s="1603">
        <f t="shared" si="11"/>
        <v>100</v>
      </c>
      <c r="V40" s="1602" t="s">
        <v>1477</v>
      </c>
      <c r="W40" s="1603">
        <f t="shared" si="12"/>
        <v>100</v>
      </c>
      <c r="X40" s="1604"/>
      <c r="Y40" s="3849"/>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39" t="str">
        <f>A41</f>
        <v>成交单价</v>
      </c>
      <c r="Q41" s="3839"/>
      <c r="R41" s="3840">
        <f>E41</f>
        <v>0</v>
      </c>
      <c r="S41" s="3840"/>
      <c r="T41" s="3840">
        <f>G41</f>
        <v>0</v>
      </c>
      <c r="U41" s="3840"/>
      <c r="V41" s="3840">
        <f>I41</f>
        <v>0</v>
      </c>
      <c r="W41" s="3840"/>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39" t="str">
        <f>A42</f>
        <v>比较价值（元/平方米）</v>
      </c>
      <c r="Q42" s="3839"/>
      <c r="R42" s="3889" t="e">
        <f>ROUND(PRODUCT(R41,AA7:AA40),0)</f>
        <v>#DIV/0!</v>
      </c>
      <c r="S42" s="3889"/>
      <c r="T42" s="3889" t="e">
        <f>ROUND(PRODUCT(T41,AB7:AB40),0)</f>
        <v>#DIV/0!</v>
      </c>
      <c r="U42" s="3889"/>
      <c r="V42" s="3889" t="e">
        <f>ROUND(PRODUCT(V41,AC7:AC40),0)</f>
        <v>#DIV/0!</v>
      </c>
      <c r="W42" s="388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51" t="str">
        <f>A43</f>
        <v>估价对象XX用房的比较价值（楼面单价，元/平方米）</v>
      </c>
      <c r="Q43" s="3852"/>
      <c r="R43" s="3890" t="e">
        <f>ROUND(IF(D42="简单平均",AVERAGE(R42:W42),R42*F42+T42*H42+V42*J42),0)</f>
        <v>#DIV/0!</v>
      </c>
      <c r="S43" s="3890"/>
      <c r="T43" s="3890"/>
      <c r="U43" s="3890"/>
      <c r="V43" s="3890"/>
      <c r="W43" s="389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23" t="s">
        <v>1646</v>
      </c>
      <c r="H50" s="388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100.28</v>
      </c>
      <c r="F51" s="1516" t="e">
        <f t="shared" ref="F51:F60" si="15">ROUND(B51*E51/10000,0)</f>
        <v>#DIV/0!</v>
      </c>
      <c r="G51" s="3841"/>
      <c r="H51" s="383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2002-10-1</v>
      </c>
      <c r="D63" s="1535">
        <f>EDATE(C63,-3)</f>
        <v>37438</v>
      </c>
      <c r="E63" s="1535">
        <f>EDATE(D63,-3)</f>
        <v>37347</v>
      </c>
      <c r="F63" s="1535">
        <f t="shared" ref="F63:O63" si="18">EDATE(E63,-3)</f>
        <v>37257</v>
      </c>
      <c r="G63" s="1535">
        <f t="shared" si="18"/>
        <v>37165</v>
      </c>
      <c r="H63" s="1535">
        <f t="shared" si="18"/>
        <v>37073</v>
      </c>
      <c r="I63" s="1535">
        <f t="shared" si="18"/>
        <v>36982</v>
      </c>
      <c r="J63" s="1535">
        <f t="shared" si="18"/>
        <v>36892</v>
      </c>
      <c r="K63" s="1535">
        <f t="shared" si="18"/>
        <v>36800</v>
      </c>
      <c r="L63" s="1535">
        <f t="shared" si="18"/>
        <v>36708</v>
      </c>
      <c r="M63" s="1535">
        <f t="shared" si="18"/>
        <v>36617</v>
      </c>
      <c r="N63" s="1535">
        <f t="shared" si="18"/>
        <v>36526</v>
      </c>
      <c r="O63" s="1535">
        <f t="shared" si="18"/>
        <v>36434</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2002-4</v>
      </c>
      <c r="D65" s="1613" t="str">
        <f t="shared" ref="D65:O65" si="19">YEAR(D63)&amp;"-"&amp;ROUNDUP(MONTH(D63)/3,0)</f>
        <v>2002-3</v>
      </c>
      <c r="E65" s="1613" t="str">
        <f t="shared" si="19"/>
        <v>2002-2</v>
      </c>
      <c r="F65" s="1613" t="str">
        <f t="shared" si="19"/>
        <v>2002-1</v>
      </c>
      <c r="G65" s="1613" t="str">
        <f t="shared" si="19"/>
        <v>2001-4</v>
      </c>
      <c r="H65" s="1613" t="str">
        <f t="shared" si="19"/>
        <v>2001-3</v>
      </c>
      <c r="I65" s="1613" t="str">
        <f t="shared" si="19"/>
        <v>2001-2</v>
      </c>
      <c r="J65" s="1613" t="str">
        <f t="shared" si="19"/>
        <v>2001-1</v>
      </c>
      <c r="K65" s="1613" t="str">
        <f t="shared" si="19"/>
        <v>2000-4</v>
      </c>
      <c r="L65" s="1613" t="str">
        <f t="shared" si="19"/>
        <v>2000-3</v>
      </c>
      <c r="M65" s="1613" t="str">
        <f t="shared" si="19"/>
        <v>2000-2</v>
      </c>
      <c r="N65" s="1613" t="str">
        <f t="shared" si="19"/>
        <v>2000-1</v>
      </c>
      <c r="O65" s="1613" t="str">
        <f t="shared" si="19"/>
        <v>1999-4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895" t="s">
        <v>1676</v>
      </c>
      <c r="D1" s="3896"/>
      <c r="E1" s="3896"/>
      <c r="F1" s="3896"/>
      <c r="G1" s="3896"/>
      <c r="H1" s="3896"/>
      <c r="I1" s="3896"/>
      <c r="J1" s="3896"/>
      <c r="K1" s="3896"/>
      <c r="L1" s="3896"/>
      <c r="M1" s="3896"/>
      <c r="N1" s="3896"/>
      <c r="O1" s="3896"/>
      <c r="P1" s="3896"/>
      <c r="Q1" s="3896"/>
      <c r="R1" s="3896"/>
      <c r="S1" s="389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898" t="s">
        <v>124</v>
      </c>
      <c r="D22" s="3899"/>
      <c r="E22" s="3899"/>
      <c r="F22" s="3899"/>
      <c r="G22" s="3899"/>
      <c r="H22" s="3899"/>
      <c r="I22" s="3899"/>
      <c r="J22" s="3899"/>
      <c r="K22" s="3899"/>
      <c r="L22" s="3899"/>
      <c r="M22" s="3899"/>
      <c r="N22" s="3899"/>
      <c r="O22" s="3899"/>
      <c r="P22" s="3899"/>
      <c r="Q22" s="390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100.28</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100.28</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44"/>
  <sheetViews>
    <sheetView topLeftCell="E1" workbookViewId="0">
      <selection activeCell="O37" sqref="O37"/>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67"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67"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67"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67"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67"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67"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67"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67"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67"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67" s="3598" customFormat="1" ht="12">
      <c r="A10" s="3598" t="s">
        <v>3132</v>
      </c>
      <c r="B10" s="3598" t="s">
        <v>3133</v>
      </c>
      <c r="C10" s="3599" t="s">
        <v>3134</v>
      </c>
      <c r="D10" s="3598" t="s">
        <v>3135</v>
      </c>
      <c r="E10" s="3598" t="s">
        <v>2368</v>
      </c>
      <c r="F10" s="3598" t="s">
        <v>3056</v>
      </c>
      <c r="H10" s="3598" t="s">
        <v>3114</v>
      </c>
      <c r="I10" s="3598" t="s">
        <v>3136</v>
      </c>
      <c r="J10" s="3598" t="s">
        <v>3096</v>
      </c>
      <c r="K10" s="3598" t="s">
        <v>3060</v>
      </c>
      <c r="L10" s="3598">
        <v>85.08</v>
      </c>
      <c r="M10" s="3598">
        <v>15</v>
      </c>
      <c r="N10" s="3598" t="s">
        <v>3097</v>
      </c>
      <c r="O10" s="3598">
        <v>66.84</v>
      </c>
      <c r="P10" s="3598" t="s">
        <v>1729</v>
      </c>
      <c r="Q10" s="3600">
        <v>407970.51120000001</v>
      </c>
      <c r="R10" s="3598">
        <v>4795.1400000000003</v>
      </c>
      <c r="S10" s="3601">
        <v>40.369999999999997</v>
      </c>
      <c r="T10" s="3602">
        <v>403700</v>
      </c>
      <c r="U10" s="3598">
        <v>4745</v>
      </c>
      <c r="V10" s="3603">
        <v>0.1</v>
      </c>
      <c r="W10" s="3601">
        <v>36.33</v>
      </c>
      <c r="X10" s="3604">
        <v>363300</v>
      </c>
      <c r="Y10" s="3598">
        <v>2002</v>
      </c>
      <c r="Z10" s="3598">
        <v>9</v>
      </c>
      <c r="AA10" s="3598">
        <v>25</v>
      </c>
      <c r="AB10" s="3605">
        <v>1005</v>
      </c>
      <c r="AC10" s="3598" t="s">
        <v>3062</v>
      </c>
      <c r="AE10" s="3598" t="s">
        <v>192</v>
      </c>
      <c r="AF10" s="3598" t="s">
        <v>3122</v>
      </c>
      <c r="AG10" s="3598" t="s">
        <v>1732</v>
      </c>
      <c r="AI10" s="3598" t="s">
        <v>3108</v>
      </c>
      <c r="AJ10" s="3606">
        <v>37468</v>
      </c>
      <c r="AK10" s="3607">
        <v>9</v>
      </c>
      <c r="AL10" s="3598">
        <v>67641672</v>
      </c>
      <c r="AN10" s="3598" t="s">
        <v>1792</v>
      </c>
      <c r="AP10" s="3598" t="s">
        <v>1738</v>
      </c>
      <c r="AQ10" s="3598" t="s">
        <v>1734</v>
      </c>
      <c r="AW10" s="3598" t="s">
        <v>1735</v>
      </c>
      <c r="AX10" s="3598" t="s">
        <v>361</v>
      </c>
      <c r="AY10" s="3599" t="s">
        <v>3137</v>
      </c>
      <c r="AZ10" s="3598" t="s">
        <v>3060</v>
      </c>
      <c r="BA10" s="3598" t="s">
        <v>3066</v>
      </c>
      <c r="BB10" s="3599" t="s">
        <v>3079</v>
      </c>
      <c r="BC10" s="3598" t="s">
        <v>3067</v>
      </c>
      <c r="BD10" s="3608"/>
      <c r="BE10" s="3598">
        <v>64292020</v>
      </c>
      <c r="BF10" s="3609">
        <v>2.7</v>
      </c>
      <c r="BG10" s="3606">
        <v>37509</v>
      </c>
      <c r="BI10" s="3598" t="s">
        <v>1738</v>
      </c>
      <c r="BJ10" s="3606">
        <v>37522</v>
      </c>
      <c r="BK10" s="3606"/>
      <c r="BM10" s="3610"/>
      <c r="BN10" s="3610"/>
      <c r="BO10" s="3610"/>
    </row>
    <row r="11" spans="1:67"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67" customFormat="1">
      <c r="J12" s="5"/>
    </row>
    <row r="13" spans="1:67" customFormat="1">
      <c r="J13" s="5" t="s">
        <v>3363</v>
      </c>
    </row>
    <row r="14" spans="1:67" customFormat="1">
      <c r="J14" s="5" t="s">
        <v>3364</v>
      </c>
    </row>
    <row r="15" spans="1:67" customFormat="1">
      <c r="J15" s="1228"/>
    </row>
    <row r="16" spans="1:67"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97</v>
      </c>
      <c r="J39" s="1228">
        <v>100</v>
      </c>
      <c r="K39" s="1228">
        <v>101</v>
      </c>
      <c r="L39" s="1228">
        <v>102</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04" t="s">
        <v>1800</v>
      </c>
      <c r="E2" s="3905"/>
      <c r="F2" s="3905"/>
      <c r="G2" s="3905"/>
      <c r="H2" s="390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07" t="s">
        <v>1872</v>
      </c>
      <c r="E26" s="3908"/>
      <c r="F26" s="3908"/>
      <c r="G26" s="3908"/>
      <c r="H26" s="390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0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0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0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07" t="s">
        <v>1885</v>
      </c>
      <c r="E34" s="3908"/>
      <c r="F34" s="3908"/>
      <c r="G34" s="3908"/>
      <c r="H34" s="3909"/>
      <c r="I34" s="1193"/>
      <c r="J34" s="1193"/>
      <c r="K34" s="1154"/>
      <c r="L34" s="1154"/>
    </row>
    <row r="35" spans="1:18" ht="15.75" customHeight="1">
      <c r="A35" s="1166"/>
      <c r="B35" s="1154"/>
      <c r="C35" s="1154"/>
      <c r="D35" s="1114" t="s">
        <v>1808</v>
      </c>
      <c r="E35" s="1182" t="s">
        <v>1886</v>
      </c>
      <c r="F35" s="1183" t="e">
        <f>ROUND(F24*F33,0)</f>
        <v>#VALUE!</v>
      </c>
      <c r="G35" s="3910" t="s">
        <v>1887</v>
      </c>
      <c r="H35" s="3911"/>
      <c r="I35" s="1197"/>
      <c r="J35" s="1197"/>
      <c r="K35" s="1154"/>
      <c r="L35" s="1154"/>
    </row>
    <row r="36" spans="1:18" ht="15.75" customHeight="1">
      <c r="A36" s="1166"/>
      <c r="B36" s="1154"/>
      <c r="C36" s="1154"/>
      <c r="D36" s="1167" t="s">
        <v>1877</v>
      </c>
      <c r="E36" s="1168" t="s">
        <v>1888</v>
      </c>
      <c r="F36" s="1184" t="e">
        <f>ROUND(F25*F33,4)</f>
        <v>#VALUE!</v>
      </c>
      <c r="G36" s="3901" t="s">
        <v>1889</v>
      </c>
      <c r="H36" s="390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1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1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1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1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4.4999999999999998E-2</v>
      </c>
      <c r="G42" s="1029">
        <f>F42/2</f>
        <v>2.2499999999999999E-2</v>
      </c>
      <c r="H42" s="1030">
        <v>0</v>
      </c>
      <c r="I42" s="1029">
        <f>J42/2</f>
        <v>-2.2499999999999999E-2</v>
      </c>
      <c r="J42" s="1029">
        <f>SUMPRODUCT(('[1]2002因素修正幅度'!$A$66:$A$72=A42)*('[1]2002因素修正幅度'!$B$35:$K$35=$G$2)*('[1]2002因素修正幅度'!$B$66:$K$72))</f>
        <v>-4.4999999999999998E-2</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32.6907</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3260</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C6+C7+C8</f>
        <v>140023</v>
      </c>
      <c r="D5" s="346" t="s">
        <v>992</v>
      </c>
      <c r="E5" s="347" t="s">
        <v>993</v>
      </c>
      <c r="F5" s="347" t="s">
        <v>890</v>
      </c>
      <c r="G5" s="348"/>
    </row>
    <row r="6" spans="1:8" s="326" customFormat="1" ht="13.5" customHeight="1">
      <c r="A6" s="349" t="s">
        <v>994</v>
      </c>
      <c r="B6" s="350" t="s">
        <v>995</v>
      </c>
      <c r="C6" s="351">
        <f>ROUND(1355*'数据-取费表'!K6,0)</f>
        <v>135879</v>
      </c>
      <c r="D6" s="352"/>
      <c r="E6" s="353"/>
      <c r="F6" s="353"/>
      <c r="G6" s="354"/>
    </row>
    <row r="7" spans="1:8" s="326" customFormat="1" ht="13.5" customHeight="1">
      <c r="A7" s="349" t="s">
        <v>996</v>
      </c>
      <c r="B7" s="350" t="s">
        <v>997</v>
      </c>
      <c r="C7" s="355">
        <f>ROUND(C6*F7,0)</f>
        <v>4144</v>
      </c>
      <c r="D7" s="355"/>
      <c r="E7" s="353"/>
      <c r="F7" s="356">
        <f>IF(项目基本情况!B8="出让",0,'数据-取费表'!B48+'数据-取费表'!B49)</f>
        <v>3.0499999999999999E-2</v>
      </c>
      <c r="G7" s="354"/>
    </row>
    <row r="8" spans="1:8" s="327" customFormat="1">
      <c r="A8" s="349" t="s">
        <v>998</v>
      </c>
      <c r="B8" s="350" t="s">
        <v>999</v>
      </c>
      <c r="C8" s="355">
        <f>IF(G8="已包含在土地购买价格中",0,C9+C10)</f>
        <v>0</v>
      </c>
      <c r="D8" s="357"/>
      <c r="E8" s="355"/>
      <c r="F8" s="356"/>
      <c r="G8" s="876" t="s">
        <v>2446</v>
      </c>
    </row>
    <row r="9" spans="1:8" s="326" customFormat="1" ht="13.5" customHeight="1">
      <c r="A9" s="359" t="s">
        <v>1000</v>
      </c>
      <c r="B9" s="360" t="s">
        <v>1001</v>
      </c>
      <c r="C9" s="361">
        <f ca="1">ROUND(D9*E9,0)</f>
        <v>16045</v>
      </c>
      <c r="D9" s="362">
        <f ca="1">IF(B1="",'数据-汇总表'!E5,IF(INDIRECT("'数据-取费表'!c"&amp;$G$1)="住宅",INDIRECT("'数据-取费表'!k"&amp;$G$1),0))</f>
        <v>100.28</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100.28</v>
      </c>
      <c r="E19" s="346">
        <f>'数据-取费表'!B31</f>
        <v>200</v>
      </c>
      <c r="F19" s="368"/>
      <c r="G19" s="876" t="s">
        <v>1991</v>
      </c>
    </row>
    <row r="20" spans="1:7" s="326" customFormat="1" ht="13.5" customHeight="1">
      <c r="A20" s="344" t="s">
        <v>1023</v>
      </c>
      <c r="B20" s="345" t="s">
        <v>1024</v>
      </c>
      <c r="C20" s="369">
        <f>ROUND((C5+C19)*F20,0)</f>
        <v>2800</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7509</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7435</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74</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21423</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21423</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186386</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107901</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80224</v>
      </c>
      <c r="D34" s="352"/>
      <c r="E34" s="355"/>
      <c r="F34" s="398"/>
      <c r="G34" s="354"/>
    </row>
    <row r="35" spans="1:7" ht="13.5" customHeight="1">
      <c r="A35" s="377" t="s">
        <v>996</v>
      </c>
      <c r="B35" s="350" t="s">
        <v>1054</v>
      </c>
      <c r="C35" s="355">
        <f ca="1">ROUND(C34*F35,0)</f>
        <v>2407</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4011</v>
      </c>
      <c r="D36" s="355"/>
      <c r="E36" s="355"/>
      <c r="F36" s="399">
        <f>'数据-取费表'!B34</f>
        <v>0.05</v>
      </c>
      <c r="G36" s="400" t="s">
        <v>1057</v>
      </c>
    </row>
    <row r="37" spans="1:7" s="328" customFormat="1" ht="13.5" customHeight="1">
      <c r="A37" s="377" t="s">
        <v>1038</v>
      </c>
      <c r="B37" s="350" t="s">
        <v>1058</v>
      </c>
      <c r="C37" s="390">
        <f ca="1">ROUND(E37*D37,0)</f>
        <v>20056</v>
      </c>
      <c r="D37" s="352">
        <f ca="1">D19</f>
        <v>100.28</v>
      </c>
      <c r="E37" s="390">
        <f>'数据-取费表'!B35</f>
        <v>200</v>
      </c>
      <c r="F37" s="399"/>
      <c r="G37" s="401"/>
    </row>
    <row r="38" spans="1:7" ht="13.5" customHeight="1">
      <c r="A38" s="377" t="s">
        <v>1060</v>
      </c>
      <c r="B38" s="350" t="s">
        <v>926</v>
      </c>
      <c r="C38" s="355">
        <f ca="1">ROUND(C34*F38,0)</f>
        <v>1203</v>
      </c>
      <c r="D38" s="355"/>
      <c r="E38" s="355"/>
      <c r="F38" s="399">
        <f>'数据-取费表'!B36</f>
        <v>1.4999999999999999E-2</v>
      </c>
      <c r="G38" s="354" t="s">
        <v>1055</v>
      </c>
    </row>
    <row r="39" spans="1:7" s="326" customFormat="1" ht="13.5" customHeight="1">
      <c r="A39" s="344" t="s">
        <v>1021</v>
      </c>
      <c r="B39" s="345" t="s">
        <v>1024</v>
      </c>
      <c r="C39" s="369">
        <f ca="1">ROUND(C33*F20,0)</f>
        <v>2158</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2922</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2865</v>
      </c>
      <c r="D42" s="379"/>
      <c r="E42" s="379"/>
      <c r="F42" s="380"/>
      <c r="G42" s="3794" t="s">
        <v>1994</v>
      </c>
    </row>
    <row r="43" spans="1:7" ht="13.5" customHeight="1">
      <c r="A43" s="377" t="s">
        <v>996</v>
      </c>
      <c r="B43" s="350" t="s">
        <v>1034</v>
      </c>
      <c r="C43" s="379">
        <f ca="1">ROUND(IF('数据-取费表'!B22&lt;=1,C39*F22*'数据-取费表'!B20/2,C39*(POWER((1+F22),'数据-取费表'!B20/2)-1)),0)</f>
        <v>57</v>
      </c>
      <c r="D43" s="379"/>
      <c r="E43" s="379"/>
      <c r="F43" s="380"/>
      <c r="G43" s="3795"/>
    </row>
    <row r="44" spans="1:7" ht="13.5" customHeight="1">
      <c r="A44" s="377" t="s">
        <v>998</v>
      </c>
      <c r="B44" s="350" t="s">
        <v>1036</v>
      </c>
      <c r="C44" s="379">
        <f ca="1">ROUND(IF('数据-取费表'!B22&lt;=1,C40*F22*'数据-取费表'!B20/2,C40*(POWER((1+F22),'数据-取费表'!B20/2)-1)),4)</f>
        <v>5.0000000000000001E-4</v>
      </c>
      <c r="D44" s="379"/>
      <c r="E44" s="379"/>
      <c r="F44" s="380"/>
      <c r="G44" s="3796"/>
    </row>
    <row r="45" spans="1:7" s="326" customFormat="1" ht="13.5" customHeight="1">
      <c r="A45" s="344" t="s">
        <v>1030</v>
      </c>
      <c r="B45" s="385" t="s">
        <v>1041</v>
      </c>
      <c r="C45" s="386">
        <f ca="1">C46</f>
        <v>16509</v>
      </c>
      <c r="D45" s="372">
        <f ca="1">C47</f>
        <v>3.0000000000000001E-3</v>
      </c>
      <c r="E45" s="373" t="s">
        <v>1062</v>
      </c>
      <c r="F45" s="387">
        <f ca="1">F27</f>
        <v>0.15</v>
      </c>
      <c r="G45" s="388" t="s">
        <v>1065</v>
      </c>
    </row>
    <row r="46" spans="1:7" s="326" customFormat="1" ht="13.5" customHeight="1">
      <c r="A46" s="377" t="s">
        <v>994</v>
      </c>
      <c r="B46" s="389" t="s">
        <v>1066</v>
      </c>
      <c r="C46" s="390">
        <f ca="1">ROUND((C33+C39)*F27,0)</f>
        <v>16509</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140521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140521</v>
      </c>
      <c r="D51" s="369"/>
      <c r="E51" s="369"/>
      <c r="F51" s="404"/>
      <c r="G51" s="374" t="s">
        <v>1076</v>
      </c>
    </row>
    <row r="52" spans="1:7" s="325" customFormat="1" ht="15.75">
      <c r="A52" s="405" t="s">
        <v>1077</v>
      </c>
      <c r="B52" s="406"/>
      <c r="C52" s="407">
        <f ca="1">C31+C51</f>
        <v>326907</v>
      </c>
      <c r="D52" s="406"/>
      <c r="E52" s="406"/>
      <c r="F52" s="406"/>
      <c r="G52" s="408"/>
    </row>
    <row r="55" spans="1:7" ht="15">
      <c r="B55" s="409" t="s">
        <v>1078</v>
      </c>
      <c r="C55" s="410"/>
    </row>
    <row r="56" spans="1:7">
      <c r="B56" s="411" t="s">
        <v>1079</v>
      </c>
      <c r="C56" s="413">
        <f ca="1">1-C57</f>
        <v>0.57000000000000006</v>
      </c>
    </row>
    <row r="57" spans="1:7">
      <c r="B57" s="411" t="s">
        <v>1080</v>
      </c>
      <c r="C57" s="412">
        <f ca="1">ROUND(C51/C52,3)</f>
        <v>0.43</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100.28</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15"/>
      <c r="B4" s="3916"/>
      <c r="C4" s="3916"/>
      <c r="D4" s="3917"/>
      <c r="E4" s="3917"/>
      <c r="F4" s="3917"/>
      <c r="G4" s="3917"/>
      <c r="H4" s="3917"/>
      <c r="I4" s="3917"/>
      <c r="J4" s="391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9" t="s">
        <v>2028</v>
      </c>
      <c r="X8" s="392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3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3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25" t="s">
        <v>2077</v>
      </c>
      <c r="B20" s="577" t="s">
        <v>2078</v>
      </c>
      <c r="C20" s="578">
        <f>ROUND(IF(F21="与级别开发程度一致",0,(G21-E21)/C21),0)</f>
        <v>0</v>
      </c>
      <c r="D20" s="579" t="s">
        <v>2079</v>
      </c>
      <c r="E20" s="580"/>
      <c r="F20" s="3921" t="s">
        <v>2080</v>
      </c>
      <c r="G20" s="392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2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37533</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100.28</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2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2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23" t="s">
        <v>2176</v>
      </c>
      <c r="B103" s="3923"/>
      <c r="C103" s="3923"/>
      <c r="D103" s="3923"/>
      <c r="E103" s="3923"/>
      <c r="F103" s="3923"/>
      <c r="G103" s="3923"/>
      <c r="H103" s="3923"/>
      <c r="I103" s="3923"/>
      <c r="J103" s="3923"/>
      <c r="K103" s="838"/>
      <c r="L103" s="838"/>
      <c r="M103" s="838"/>
      <c r="N103" s="838"/>
    </row>
    <row r="104" spans="1:14">
      <c r="A104" s="3929" t="s">
        <v>2177</v>
      </c>
      <c r="B104" s="3929" t="s">
        <v>2178</v>
      </c>
      <c r="C104" s="840" t="s">
        <v>2179</v>
      </c>
      <c r="D104" s="841"/>
      <c r="E104" s="841"/>
      <c r="F104" s="841"/>
      <c r="G104" s="841"/>
      <c r="H104" s="841"/>
      <c r="I104" s="841"/>
      <c r="J104" s="860"/>
      <c r="K104" s="861"/>
      <c r="L104" s="861"/>
      <c r="M104" s="861"/>
      <c r="N104" s="861"/>
    </row>
    <row r="105" spans="1:14">
      <c r="A105" s="3929"/>
      <c r="B105" s="392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3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3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3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3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3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3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3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24" t="s">
        <v>2181</v>
      </c>
      <c r="B113" s="3924"/>
      <c r="C113" s="3924"/>
      <c r="D113" s="3924"/>
      <c r="E113" s="3924"/>
      <c r="F113" s="3924"/>
      <c r="G113" s="3924"/>
      <c r="H113" s="3924"/>
      <c r="I113" s="3924"/>
      <c r="J113" s="392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0"/>
      <c r="C2" s="3620"/>
      <c r="D2" s="3620"/>
      <c r="E2" s="3620"/>
    </row>
    <row r="3" spans="1:5" ht="18">
      <c r="A3" s="3621" t="str">
        <f>IF(项目基本情况!B9="房地产市场价值","估价结果一览表（市场价值不需“结果表-1”）","估价结果一览表")</f>
        <v>估价结果一览表</v>
      </c>
      <c r="B3" s="3621"/>
      <c r="C3" s="3621"/>
      <c r="D3" s="3621"/>
      <c r="E3" s="3621"/>
    </row>
    <row r="4" spans="1:5" ht="18.75">
      <c r="A4" s="3507"/>
      <c r="B4" s="3622" t="s">
        <v>95</v>
      </c>
      <c r="C4" s="3622"/>
      <c r="D4" s="3622"/>
      <c r="E4" s="3507"/>
    </row>
    <row r="5" spans="1:5" ht="15.75">
      <c r="B5" s="3614" t="s">
        <v>96</v>
      </c>
      <c r="C5" s="3508" t="s">
        <v>97</v>
      </c>
      <c r="D5" s="3509" t="e">
        <f ca="1">结果表!H101</f>
        <v>#REF!</v>
      </c>
    </row>
    <row r="6" spans="1:5" ht="15.75">
      <c r="B6" s="3614"/>
      <c r="C6" s="3508" t="s">
        <v>98</v>
      </c>
      <c r="D6" s="3509" t="e">
        <f ca="1">NUMBERSTRING(INT(D5*10000),2)&amp;"元整"</f>
        <v>#REF!</v>
      </c>
    </row>
    <row r="7" spans="1:5" ht="15.75">
      <c r="B7" s="3615"/>
      <c r="C7" s="3510" t="s">
        <v>99</v>
      </c>
      <c r="D7" s="3511" t="e">
        <f ca="1">结果表!H102</f>
        <v>#REF!</v>
      </c>
    </row>
    <row r="8" spans="1:5" ht="15.75">
      <c r="B8" s="3616" t="str">
        <f>结果表!E103</f>
        <v>2.估价师知悉的法定优先受偿款</v>
      </c>
      <c r="C8" s="3512" t="s">
        <v>100</v>
      </c>
      <c r="D8" s="3511">
        <f>结果表!H103</f>
        <v>0</v>
      </c>
    </row>
    <row r="9" spans="1:5" ht="15.75">
      <c r="B9" s="361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13" t="str">
        <f>结果表!E107</f>
        <v>3.房地产抵押价值</v>
      </c>
      <c r="C13" s="3516" t="s">
        <v>97</v>
      </c>
      <c r="D13" s="3517" t="e">
        <f ca="1">结果表!H107</f>
        <v>#REF!</v>
      </c>
    </row>
    <row r="14" spans="1:5" ht="15.75">
      <c r="B14" s="3614"/>
      <c r="C14" s="3508" t="s">
        <v>98</v>
      </c>
      <c r="D14" s="3509" t="e">
        <f ca="1">NUMBERSTRING(INT(D13*10000),2)&amp;"元整"</f>
        <v>#REF!</v>
      </c>
    </row>
    <row r="15" spans="1:5" ht="15">
      <c r="B15" s="3615"/>
      <c r="C15" s="3510" t="s">
        <v>99</v>
      </c>
      <c r="D15" s="3518" t="e">
        <f ca="1">结果表!H108</f>
        <v>#REF!</v>
      </c>
    </row>
    <row r="16" spans="1:5" ht="15">
      <c r="B16" s="3616" t="str">
        <f>结果表!E109</f>
        <v>——</v>
      </c>
      <c r="C16" s="3516" t="s">
        <v>97</v>
      </c>
      <c r="D16" s="3519" t="str">
        <f>结果表!H109</f>
        <v>——</v>
      </c>
    </row>
    <row r="17" spans="1:5" ht="15.75">
      <c r="B17" s="3617"/>
      <c r="C17" s="3508" t="s">
        <v>98</v>
      </c>
      <c r="D17" s="3509" t="e">
        <f>NUMBERSTRING(INT(D16*10000),2)&amp;"元整"</f>
        <v>#VALUE!</v>
      </c>
    </row>
    <row r="18" spans="1:5" ht="15">
      <c r="B18" s="3618"/>
      <c r="C18" s="3510" t="s">
        <v>99</v>
      </c>
      <c r="D18" s="3518" t="str">
        <f>结果表!H110</f>
        <v>——</v>
      </c>
    </row>
    <row r="19" spans="1:5" ht="15.75">
      <c r="B19" s="3613" t="str">
        <f>结果表!E111</f>
        <v>——</v>
      </c>
      <c r="C19" s="3516" t="s">
        <v>97</v>
      </c>
      <c r="D19" s="3511" t="str">
        <f>结果表!H111</f>
        <v>——</v>
      </c>
    </row>
    <row r="20" spans="1:5" ht="15.75">
      <c r="B20" s="3614"/>
      <c r="C20" s="3508" t="s">
        <v>98</v>
      </c>
      <c r="D20" s="3509" t="e">
        <f>NUMBERSTRING(INT(D19*10000),2)&amp;"元整"</f>
        <v>#VALUE!</v>
      </c>
    </row>
    <row r="21" spans="1:5" ht="15">
      <c r="B21" s="361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34" t="s">
        <v>1959</v>
      </c>
      <c r="B20" s="3940" t="s">
        <v>2203</v>
      </c>
      <c r="C20" s="456" t="s">
        <v>2204</v>
      </c>
      <c r="D20" s="457"/>
      <c r="E20" s="458">
        <v>1</v>
      </c>
      <c r="F20" s="459" t="s">
        <v>2205</v>
      </c>
      <c r="G20" s="459"/>
    </row>
    <row r="21" spans="1:13" ht="19.5" customHeight="1">
      <c r="A21" s="3935"/>
      <c r="B21" s="3941"/>
      <c r="C21" s="460" t="s">
        <v>2206</v>
      </c>
      <c r="D21" s="461"/>
      <c r="E21" s="462">
        <v>1</v>
      </c>
      <c r="F21" s="459" t="s">
        <v>2207</v>
      </c>
      <c r="G21" s="459"/>
    </row>
    <row r="22" spans="1:13" ht="19.5" customHeight="1">
      <c r="A22" s="3935"/>
      <c r="B22" s="3941"/>
      <c r="C22" s="460" t="s">
        <v>2208</v>
      </c>
      <c r="D22" s="461"/>
      <c r="E22" s="462">
        <v>0.9</v>
      </c>
      <c r="F22" s="459" t="s">
        <v>2209</v>
      </c>
      <c r="G22" s="459"/>
    </row>
    <row r="23" spans="1:13" ht="19.5" customHeight="1">
      <c r="A23" s="3935"/>
      <c r="B23" s="3941"/>
      <c r="C23" s="460" t="s">
        <v>2210</v>
      </c>
      <c r="D23" s="461"/>
      <c r="E23" s="462">
        <v>0.9</v>
      </c>
      <c r="F23" s="459" t="s">
        <v>2211</v>
      </c>
      <c r="G23" s="459"/>
    </row>
    <row r="24" spans="1:13" ht="19.5" customHeight="1">
      <c r="A24" s="3935"/>
      <c r="B24" s="3941"/>
      <c r="C24" s="460" t="s">
        <v>2212</v>
      </c>
      <c r="D24" s="461"/>
      <c r="E24" s="462">
        <v>0.8</v>
      </c>
      <c r="F24" s="459" t="s">
        <v>2213</v>
      </c>
      <c r="G24" s="459"/>
    </row>
    <row r="25" spans="1:13" ht="19.5" customHeight="1">
      <c r="A25" s="3936"/>
      <c r="B25" s="3942"/>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37" t="s">
        <v>280</v>
      </c>
      <c r="B27" s="3940" t="s">
        <v>280</v>
      </c>
      <c r="C27" s="456" t="s">
        <v>2218</v>
      </c>
      <c r="D27" s="457"/>
      <c r="E27" s="458">
        <v>1</v>
      </c>
      <c r="F27" s="459" t="s">
        <v>2219</v>
      </c>
      <c r="G27" s="459"/>
    </row>
    <row r="28" spans="1:13" ht="19.5" customHeight="1">
      <c r="A28" s="3938"/>
      <c r="B28" s="3941"/>
      <c r="C28" s="460" t="s">
        <v>2220</v>
      </c>
      <c r="D28" s="461"/>
      <c r="E28" s="462">
        <v>1</v>
      </c>
      <c r="F28" s="459" t="s">
        <v>2221</v>
      </c>
      <c r="G28" s="459"/>
    </row>
    <row r="29" spans="1:13" ht="19.5" customHeight="1">
      <c r="A29" s="3938"/>
      <c r="B29" s="3941"/>
      <c r="C29" s="460" t="s">
        <v>2222</v>
      </c>
      <c r="D29" s="461"/>
      <c r="E29" s="462">
        <v>0.8</v>
      </c>
      <c r="F29" s="459" t="s">
        <v>2223</v>
      </c>
      <c r="G29" s="459"/>
    </row>
    <row r="30" spans="1:13" ht="19.5" customHeight="1">
      <c r="A30" s="3938"/>
      <c r="B30" s="3941"/>
      <c r="C30" s="460" t="s">
        <v>2224</v>
      </c>
      <c r="D30" s="461"/>
      <c r="E30" s="462">
        <v>0.8</v>
      </c>
      <c r="F30" s="459" t="s">
        <v>2225</v>
      </c>
      <c r="G30" s="459"/>
    </row>
    <row r="31" spans="1:13" ht="19.5" customHeight="1">
      <c r="A31" s="3938"/>
      <c r="B31" s="3941"/>
      <c r="C31" s="460" t="s">
        <v>2226</v>
      </c>
      <c r="D31" s="461"/>
      <c r="E31" s="462">
        <v>0.8</v>
      </c>
      <c r="F31" s="459" t="s">
        <v>2227</v>
      </c>
      <c r="G31" s="459"/>
    </row>
    <row r="32" spans="1:13" ht="19.5" customHeight="1">
      <c r="A32" s="3938"/>
      <c r="B32" s="3941"/>
      <c r="C32" s="460" t="s">
        <v>2228</v>
      </c>
      <c r="D32" s="461"/>
      <c r="E32" s="462">
        <v>0.7</v>
      </c>
      <c r="F32" s="459" t="s">
        <v>2229</v>
      </c>
      <c r="G32" s="459"/>
    </row>
    <row r="33" spans="1:7" ht="19.5" customHeight="1">
      <c r="A33" s="3938"/>
      <c r="B33" s="3941"/>
      <c r="C33" s="460" t="s">
        <v>2230</v>
      </c>
      <c r="D33" s="461"/>
      <c r="E33" s="462">
        <v>0.8</v>
      </c>
      <c r="F33" s="459" t="s">
        <v>2231</v>
      </c>
      <c r="G33" s="459"/>
    </row>
    <row r="34" spans="1:7" ht="19.5" customHeight="1">
      <c r="A34" s="3938"/>
      <c r="B34" s="3941"/>
      <c r="C34" s="460" t="s">
        <v>2232</v>
      </c>
      <c r="D34" s="461"/>
      <c r="E34" s="462">
        <v>0.6</v>
      </c>
      <c r="F34" s="459" t="s">
        <v>2233</v>
      </c>
      <c r="G34" s="459"/>
    </row>
    <row r="35" spans="1:7" ht="19.5" customHeight="1">
      <c r="A35" s="3938"/>
      <c r="B35" s="3941"/>
      <c r="C35" s="460" t="s">
        <v>2234</v>
      </c>
      <c r="D35" s="461"/>
      <c r="E35" s="462">
        <v>0.2</v>
      </c>
      <c r="F35" s="459" t="s">
        <v>2235</v>
      </c>
      <c r="G35" s="459"/>
    </row>
    <row r="36" spans="1:7" ht="19.5" customHeight="1">
      <c r="A36" s="3938"/>
      <c r="B36" s="3941"/>
      <c r="C36" s="460" t="s">
        <v>2236</v>
      </c>
      <c r="D36" s="461"/>
      <c r="E36" s="462">
        <v>0.2</v>
      </c>
      <c r="F36" s="459" t="s">
        <v>2237</v>
      </c>
      <c r="G36" s="459"/>
    </row>
    <row r="37" spans="1:7" ht="19.5" customHeight="1">
      <c r="A37" s="3938"/>
      <c r="B37" s="3943" t="s">
        <v>2238</v>
      </c>
      <c r="C37" s="460" t="s">
        <v>2239</v>
      </c>
      <c r="D37" s="461"/>
      <c r="E37" s="462">
        <v>0.6</v>
      </c>
      <c r="F37" s="459" t="s">
        <v>2240</v>
      </c>
      <c r="G37" s="459"/>
    </row>
    <row r="38" spans="1:7" ht="19.5" customHeight="1">
      <c r="A38" s="3938"/>
      <c r="B38" s="3941"/>
      <c r="C38" s="460" t="s">
        <v>2241</v>
      </c>
      <c r="D38" s="461"/>
      <c r="E38" s="462">
        <v>0.6</v>
      </c>
      <c r="F38" s="459" t="s">
        <v>2242</v>
      </c>
      <c r="G38" s="459"/>
    </row>
    <row r="39" spans="1:7" ht="19.5" customHeight="1">
      <c r="A39" s="3939"/>
      <c r="B39" s="3942"/>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34" t="s">
        <v>408</v>
      </c>
      <c r="B41" s="3940" t="s">
        <v>2246</v>
      </c>
      <c r="C41" s="456" t="s">
        <v>2247</v>
      </c>
      <c r="D41" s="457"/>
      <c r="E41" s="458">
        <v>1</v>
      </c>
      <c r="F41" s="459" t="s">
        <v>2248</v>
      </c>
      <c r="G41" s="459"/>
    </row>
    <row r="42" spans="1:7" ht="19.5" customHeight="1">
      <c r="A42" s="3935"/>
      <c r="B42" s="3941"/>
      <c r="C42" s="460" t="s">
        <v>2249</v>
      </c>
      <c r="D42" s="461"/>
      <c r="E42" s="462">
        <v>1</v>
      </c>
      <c r="F42" s="459" t="s">
        <v>2250</v>
      </c>
      <c r="G42" s="459"/>
    </row>
    <row r="43" spans="1:7" ht="19.5" customHeight="1">
      <c r="A43" s="3935"/>
      <c r="B43" s="3944"/>
      <c r="C43" s="460" t="s">
        <v>2251</v>
      </c>
      <c r="D43" s="461"/>
      <c r="E43" s="462">
        <v>1.5</v>
      </c>
      <c r="F43" s="459" t="s">
        <v>2252</v>
      </c>
      <c r="G43" s="459"/>
    </row>
    <row r="44" spans="1:7" ht="19.5" customHeight="1">
      <c r="A44" s="3935"/>
      <c r="B44" s="472" t="s">
        <v>280</v>
      </c>
      <c r="C44" s="460" t="s">
        <v>2197</v>
      </c>
      <c r="D44" s="461"/>
      <c r="E44" s="462">
        <v>2</v>
      </c>
      <c r="F44" s="459" t="s">
        <v>2253</v>
      </c>
      <c r="G44" s="459"/>
    </row>
    <row r="45" spans="1:7" ht="19.5" customHeight="1">
      <c r="A45" s="3935"/>
      <c r="B45" s="3943" t="s">
        <v>2254</v>
      </c>
      <c r="C45" s="460" t="s">
        <v>2255</v>
      </c>
      <c r="D45" s="461"/>
      <c r="E45" s="462">
        <v>1</v>
      </c>
      <c r="F45" s="459" t="s">
        <v>2256</v>
      </c>
      <c r="G45" s="459"/>
    </row>
    <row r="46" spans="1:7" ht="19.5" customHeight="1">
      <c r="A46" s="3935"/>
      <c r="B46" s="3941"/>
      <c r="C46" s="460" t="s">
        <v>2257</v>
      </c>
      <c r="D46" s="461"/>
      <c r="E46" s="462">
        <v>1</v>
      </c>
      <c r="F46" s="459" t="s">
        <v>2258</v>
      </c>
      <c r="G46" s="459"/>
    </row>
    <row r="47" spans="1:7" ht="19.5" customHeight="1">
      <c r="A47" s="3935"/>
      <c r="B47" s="3941"/>
      <c r="C47" s="460" t="s">
        <v>2259</v>
      </c>
      <c r="D47" s="461"/>
      <c r="E47" s="462">
        <v>1</v>
      </c>
      <c r="F47" s="459" t="s">
        <v>2260</v>
      </c>
      <c r="G47" s="459"/>
    </row>
    <row r="48" spans="1:7" ht="19.5" customHeight="1">
      <c r="A48" s="3935"/>
      <c r="B48" s="3941"/>
      <c r="C48" s="460" t="s">
        <v>2261</v>
      </c>
      <c r="D48" s="461"/>
      <c r="E48" s="462">
        <v>1</v>
      </c>
      <c r="F48" s="459" t="s">
        <v>2262</v>
      </c>
      <c r="G48" s="459"/>
    </row>
    <row r="49" spans="1:7" ht="19.5" customHeight="1">
      <c r="A49" s="3935"/>
      <c r="B49" s="3941"/>
      <c r="C49" s="460" t="s">
        <v>2263</v>
      </c>
      <c r="D49" s="461"/>
      <c r="E49" s="462">
        <v>1</v>
      </c>
      <c r="F49" s="459" t="s">
        <v>2264</v>
      </c>
      <c r="G49" s="459"/>
    </row>
    <row r="50" spans="1:7" ht="19.5" customHeight="1">
      <c r="A50" s="3935"/>
      <c r="B50" s="3941"/>
      <c r="C50" s="460" t="s">
        <v>2265</v>
      </c>
      <c r="D50" s="461"/>
      <c r="E50" s="462">
        <v>1</v>
      </c>
      <c r="F50" s="459" t="s">
        <v>2266</v>
      </c>
      <c r="G50" s="459"/>
    </row>
    <row r="51" spans="1:7" ht="19.5" customHeight="1">
      <c r="A51" s="3936"/>
      <c r="B51" s="3942"/>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43" t="s">
        <v>2279</v>
      </c>
      <c r="C73" s="448" t="s">
        <v>2280</v>
      </c>
      <c r="D73" s="448" t="s">
        <v>2281</v>
      </c>
      <c r="E73" s="472">
        <v>0.2</v>
      </c>
      <c r="F73" s="472">
        <v>25</v>
      </c>
    </row>
    <row r="74" spans="1:7" ht="24">
      <c r="A74" s="472">
        <v>2</v>
      </c>
      <c r="B74" s="3941"/>
      <c r="C74" s="448" t="s">
        <v>2282</v>
      </c>
      <c r="D74" s="448" t="s">
        <v>2283</v>
      </c>
      <c r="E74" s="472">
        <v>0.2</v>
      </c>
      <c r="F74" s="472">
        <v>25</v>
      </c>
    </row>
    <row r="75" spans="1:7" ht="24">
      <c r="A75" s="472">
        <v>3</v>
      </c>
      <c r="B75" s="3941"/>
      <c r="C75" s="448" t="s">
        <v>2284</v>
      </c>
      <c r="D75" s="448" t="s">
        <v>2285</v>
      </c>
      <c r="E75" s="472">
        <v>0.2</v>
      </c>
      <c r="F75" s="472">
        <v>25</v>
      </c>
    </row>
    <row r="76" spans="1:7" ht="13.5">
      <c r="A76" s="472">
        <v>4</v>
      </c>
      <c r="B76" s="3941"/>
      <c r="C76" s="448" t="s">
        <v>2286</v>
      </c>
      <c r="D76" s="448" t="s">
        <v>2287</v>
      </c>
      <c r="E76" s="472">
        <v>0.15</v>
      </c>
      <c r="F76" s="472">
        <v>20</v>
      </c>
    </row>
    <row r="77" spans="1:7" ht="24">
      <c r="A77" s="472">
        <v>5</v>
      </c>
      <c r="B77" s="3941"/>
      <c r="C77" s="448" t="s">
        <v>2288</v>
      </c>
      <c r="D77" s="448" t="s">
        <v>2289</v>
      </c>
      <c r="E77" s="472">
        <v>0.15</v>
      </c>
      <c r="F77" s="472">
        <v>20</v>
      </c>
    </row>
    <row r="78" spans="1:7" ht="24">
      <c r="A78" s="472">
        <v>6</v>
      </c>
      <c r="B78" s="3941"/>
      <c r="C78" s="448" t="s">
        <v>2290</v>
      </c>
      <c r="D78" s="448" t="s">
        <v>2291</v>
      </c>
      <c r="E78" s="472">
        <v>0.15</v>
      </c>
      <c r="F78" s="472">
        <v>20</v>
      </c>
    </row>
    <row r="79" spans="1:7" ht="24">
      <c r="A79" s="472">
        <v>7</v>
      </c>
      <c r="B79" s="3941"/>
      <c r="C79" s="448" t="s">
        <v>2292</v>
      </c>
      <c r="D79" s="448" t="s">
        <v>2293</v>
      </c>
      <c r="E79" s="472">
        <v>0.15</v>
      </c>
      <c r="F79" s="472">
        <v>20</v>
      </c>
    </row>
    <row r="80" spans="1:7" ht="24">
      <c r="A80" s="472">
        <v>8</v>
      </c>
      <c r="B80" s="3941"/>
      <c r="C80" s="448" t="s">
        <v>2294</v>
      </c>
      <c r="D80" s="448" t="s">
        <v>2295</v>
      </c>
      <c r="E80" s="472">
        <v>0.1</v>
      </c>
      <c r="F80" s="472">
        <v>15</v>
      </c>
    </row>
    <row r="81" spans="1:6" ht="24">
      <c r="A81" s="472">
        <v>9</v>
      </c>
      <c r="B81" s="3941"/>
      <c r="C81" s="448" t="s">
        <v>2296</v>
      </c>
      <c r="D81" s="448" t="s">
        <v>2297</v>
      </c>
      <c r="E81" s="472">
        <v>0.1</v>
      </c>
      <c r="F81" s="472">
        <v>15</v>
      </c>
    </row>
    <row r="82" spans="1:6" ht="24">
      <c r="A82" s="472">
        <v>10</v>
      </c>
      <c r="B82" s="3941"/>
      <c r="C82" s="448" t="s">
        <v>2298</v>
      </c>
      <c r="D82" s="448" t="s">
        <v>2299</v>
      </c>
      <c r="E82" s="472">
        <v>0.1</v>
      </c>
      <c r="F82" s="472">
        <v>15</v>
      </c>
    </row>
    <row r="83" spans="1:6" ht="24">
      <c r="A83" s="472">
        <v>11</v>
      </c>
      <c r="B83" s="3941"/>
      <c r="C83" s="448" t="s">
        <v>2300</v>
      </c>
      <c r="D83" s="448" t="s">
        <v>2301</v>
      </c>
      <c r="E83" s="472">
        <v>0.1</v>
      </c>
      <c r="F83" s="472">
        <v>15</v>
      </c>
    </row>
    <row r="84" spans="1:6" ht="24">
      <c r="A84" s="472">
        <v>12</v>
      </c>
      <c r="B84" s="3941"/>
      <c r="C84" s="448" t="s">
        <v>2302</v>
      </c>
      <c r="D84" s="448" t="s">
        <v>2303</v>
      </c>
      <c r="E84" s="472">
        <v>0.1</v>
      </c>
      <c r="F84" s="472">
        <v>15</v>
      </c>
    </row>
    <row r="85" spans="1:6" ht="13.5">
      <c r="A85" s="472">
        <v>13</v>
      </c>
      <c r="B85" s="3941"/>
      <c r="C85" s="448" t="s">
        <v>2304</v>
      </c>
      <c r="D85" s="448" t="s">
        <v>2305</v>
      </c>
      <c r="E85" s="472">
        <v>0.1</v>
      </c>
      <c r="F85" s="472">
        <v>15</v>
      </c>
    </row>
    <row r="86" spans="1:6" ht="13.5">
      <c r="A86" s="472">
        <v>14</v>
      </c>
      <c r="B86" s="3941"/>
      <c r="C86" s="448" t="s">
        <v>2306</v>
      </c>
      <c r="D86" s="448" t="s">
        <v>2307</v>
      </c>
      <c r="E86" s="472">
        <v>0.1</v>
      </c>
      <c r="F86" s="472">
        <v>15</v>
      </c>
    </row>
    <row r="87" spans="1:6" ht="13.5">
      <c r="A87" s="472">
        <v>15</v>
      </c>
      <c r="B87" s="3941"/>
      <c r="C87" s="448" t="s">
        <v>2308</v>
      </c>
      <c r="D87" s="448" t="s">
        <v>2309</v>
      </c>
      <c r="E87" s="472">
        <v>0.1</v>
      </c>
      <c r="F87" s="472">
        <v>15</v>
      </c>
    </row>
    <row r="88" spans="1:6" ht="24">
      <c r="A88" s="472">
        <v>16</v>
      </c>
      <c r="B88" s="3941"/>
      <c r="C88" s="448" t="s">
        <v>2310</v>
      </c>
      <c r="D88" s="448" t="s">
        <v>2311</v>
      </c>
      <c r="E88" s="472">
        <v>0.1</v>
      </c>
      <c r="F88" s="472">
        <v>15</v>
      </c>
    </row>
    <row r="89" spans="1:6" ht="24">
      <c r="A89" s="472">
        <v>17</v>
      </c>
      <c r="B89" s="3944"/>
      <c r="C89" s="448" t="s">
        <v>2312</v>
      </c>
      <c r="D89" s="448" t="s">
        <v>2313</v>
      </c>
      <c r="E89" s="472">
        <v>0.1</v>
      </c>
      <c r="F89" s="472">
        <v>15</v>
      </c>
    </row>
    <row r="90" spans="1:6" ht="13.5">
      <c r="A90" s="472">
        <v>18</v>
      </c>
      <c r="B90" s="3943" t="s">
        <v>2314</v>
      </c>
      <c r="C90" s="448" t="s">
        <v>2315</v>
      </c>
      <c r="D90" s="448" t="s">
        <v>2316</v>
      </c>
      <c r="E90" s="472">
        <v>0.2</v>
      </c>
      <c r="F90" s="472">
        <v>25</v>
      </c>
    </row>
    <row r="91" spans="1:6" ht="24">
      <c r="A91" s="472">
        <v>19</v>
      </c>
      <c r="B91" s="3941"/>
      <c r="C91" s="448" t="s">
        <v>2317</v>
      </c>
      <c r="D91" s="448" t="s">
        <v>2318</v>
      </c>
      <c r="E91" s="472">
        <v>0.2</v>
      </c>
      <c r="F91" s="472">
        <v>25</v>
      </c>
    </row>
    <row r="92" spans="1:6" ht="13.5">
      <c r="A92" s="472">
        <v>20</v>
      </c>
      <c r="B92" s="3941"/>
      <c r="C92" s="448" t="s">
        <v>2319</v>
      </c>
      <c r="D92" s="448" t="s">
        <v>2320</v>
      </c>
      <c r="E92" s="472">
        <v>0.15</v>
      </c>
      <c r="F92" s="472">
        <v>20</v>
      </c>
    </row>
    <row r="93" spans="1:6" ht="13.5">
      <c r="A93" s="472">
        <v>21</v>
      </c>
      <c r="B93" s="3941"/>
      <c r="C93" s="448" t="s">
        <v>2321</v>
      </c>
      <c r="D93" s="448" t="s">
        <v>2322</v>
      </c>
      <c r="E93" s="472">
        <v>0.15</v>
      </c>
      <c r="F93" s="472">
        <v>20</v>
      </c>
    </row>
    <row r="94" spans="1:6" ht="13.5">
      <c r="A94" s="472">
        <v>22</v>
      </c>
      <c r="B94" s="3941"/>
      <c r="C94" s="448" t="s">
        <v>2323</v>
      </c>
      <c r="D94" s="448" t="s">
        <v>2324</v>
      </c>
      <c r="E94" s="472">
        <v>0.15</v>
      </c>
      <c r="F94" s="472">
        <v>20</v>
      </c>
    </row>
    <row r="95" spans="1:6" ht="36">
      <c r="A95" s="472">
        <v>23</v>
      </c>
      <c r="B95" s="3941"/>
      <c r="C95" s="448" t="s">
        <v>2325</v>
      </c>
      <c r="D95" s="448" t="s">
        <v>2326</v>
      </c>
      <c r="E95" s="472">
        <v>0.15</v>
      </c>
      <c r="F95" s="472">
        <v>20</v>
      </c>
    </row>
    <row r="96" spans="1:6" ht="13.5">
      <c r="A96" s="472">
        <v>24</v>
      </c>
      <c r="B96" s="3941"/>
      <c r="C96" s="448" t="s">
        <v>2327</v>
      </c>
      <c r="D96" s="448" t="s">
        <v>2328</v>
      </c>
      <c r="E96" s="472">
        <v>0.1</v>
      </c>
      <c r="F96" s="472">
        <v>15</v>
      </c>
    </row>
    <row r="97" spans="1:6" ht="13.5">
      <c r="A97" s="472">
        <v>25</v>
      </c>
      <c r="B97" s="3941"/>
      <c r="C97" s="448" t="s">
        <v>2329</v>
      </c>
      <c r="D97" s="448" t="s">
        <v>2330</v>
      </c>
      <c r="E97" s="472">
        <v>0.1</v>
      </c>
      <c r="F97" s="472">
        <v>15</v>
      </c>
    </row>
    <row r="98" spans="1:6" ht="24">
      <c r="A98" s="472">
        <v>26</v>
      </c>
      <c r="B98" s="3941"/>
      <c r="C98" s="448" t="s">
        <v>2331</v>
      </c>
      <c r="D98" s="448" t="s">
        <v>2332</v>
      </c>
      <c r="E98" s="472">
        <v>0.1</v>
      </c>
      <c r="F98" s="472">
        <v>15</v>
      </c>
    </row>
    <row r="99" spans="1:6" ht="24">
      <c r="A99" s="472">
        <v>27</v>
      </c>
      <c r="B99" s="3941"/>
      <c r="C99" s="448" t="s">
        <v>2333</v>
      </c>
      <c r="D99" s="448" t="s">
        <v>2334</v>
      </c>
      <c r="E99" s="472">
        <v>0.1</v>
      </c>
      <c r="F99" s="472">
        <v>15</v>
      </c>
    </row>
    <row r="100" spans="1:6" ht="13.5">
      <c r="A100" s="472">
        <v>28</v>
      </c>
      <c r="B100" s="3941"/>
      <c r="C100" s="448" t="s">
        <v>2335</v>
      </c>
      <c r="D100" s="448" t="s">
        <v>2336</v>
      </c>
      <c r="E100" s="472">
        <v>0.1</v>
      </c>
      <c r="F100" s="472">
        <v>15</v>
      </c>
    </row>
    <row r="101" spans="1:6" ht="13.5">
      <c r="A101" s="472">
        <v>29</v>
      </c>
      <c r="B101" s="3941"/>
      <c r="C101" s="448" t="s">
        <v>2337</v>
      </c>
      <c r="D101" s="448" t="s">
        <v>2338</v>
      </c>
      <c r="E101" s="472">
        <v>0.1</v>
      </c>
      <c r="F101" s="472">
        <v>15</v>
      </c>
    </row>
    <row r="102" spans="1:6" ht="13.5">
      <c r="A102" s="472">
        <v>30</v>
      </c>
      <c r="B102" s="3941"/>
      <c r="C102" s="448" t="s">
        <v>2339</v>
      </c>
      <c r="D102" s="448" t="s">
        <v>2340</v>
      </c>
      <c r="E102" s="472">
        <v>0.1</v>
      </c>
      <c r="F102" s="472">
        <v>15</v>
      </c>
    </row>
    <row r="103" spans="1:6" ht="24">
      <c r="A103" s="472">
        <v>31</v>
      </c>
      <c r="B103" s="3941"/>
      <c r="C103" s="448" t="s">
        <v>2341</v>
      </c>
      <c r="D103" s="448" t="s">
        <v>2342</v>
      </c>
      <c r="E103" s="472">
        <v>0.1</v>
      </c>
      <c r="F103" s="472">
        <v>15</v>
      </c>
    </row>
    <row r="104" spans="1:6" ht="24">
      <c r="A104" s="472">
        <v>32</v>
      </c>
      <c r="B104" s="3941"/>
      <c r="C104" s="448" t="s">
        <v>2343</v>
      </c>
      <c r="D104" s="448" t="s">
        <v>2344</v>
      </c>
      <c r="E104" s="472">
        <v>0.1</v>
      </c>
      <c r="F104" s="472">
        <v>15</v>
      </c>
    </row>
    <row r="105" spans="1:6" ht="24">
      <c r="A105" s="472">
        <v>33</v>
      </c>
      <c r="B105" s="3941"/>
      <c r="C105" s="448" t="s">
        <v>2345</v>
      </c>
      <c r="D105" s="448" t="s">
        <v>2346</v>
      </c>
      <c r="E105" s="472">
        <v>0.1</v>
      </c>
      <c r="F105" s="472">
        <v>15</v>
      </c>
    </row>
    <row r="106" spans="1:6" ht="24">
      <c r="A106" s="472">
        <v>34</v>
      </c>
      <c r="B106" s="3944"/>
      <c r="C106" s="448" t="s">
        <v>2347</v>
      </c>
      <c r="D106" s="448" t="s">
        <v>2348</v>
      </c>
      <c r="E106" s="472">
        <v>0.1</v>
      </c>
      <c r="F106" s="472">
        <v>15</v>
      </c>
    </row>
    <row r="107" spans="1:6" ht="24">
      <c r="A107" s="472">
        <v>35</v>
      </c>
      <c r="B107" s="3943" t="s">
        <v>2349</v>
      </c>
      <c r="C107" s="472" t="s">
        <v>2350</v>
      </c>
      <c r="D107" s="448" t="s">
        <v>2351</v>
      </c>
      <c r="E107" s="472">
        <v>0.15</v>
      </c>
      <c r="F107" s="472">
        <v>20</v>
      </c>
    </row>
    <row r="108" spans="1:6" ht="13.5">
      <c r="A108" s="472">
        <v>36</v>
      </c>
      <c r="B108" s="3941"/>
      <c r="C108" s="472" t="s">
        <v>2352</v>
      </c>
      <c r="D108" s="448" t="s">
        <v>2353</v>
      </c>
      <c r="E108" s="472">
        <v>0.15</v>
      </c>
      <c r="F108" s="472">
        <v>20</v>
      </c>
    </row>
    <row r="109" spans="1:6" ht="13.5">
      <c r="A109" s="472">
        <v>37</v>
      </c>
      <c r="B109" s="3941"/>
      <c r="C109" s="472" t="s">
        <v>2354</v>
      </c>
      <c r="D109" s="448" t="s">
        <v>2355</v>
      </c>
      <c r="E109" s="472">
        <v>0.15</v>
      </c>
      <c r="F109" s="472">
        <v>20</v>
      </c>
    </row>
    <row r="110" spans="1:6" ht="13.5">
      <c r="A110" s="472">
        <v>38</v>
      </c>
      <c r="B110" s="3941"/>
      <c r="C110" s="472" t="s">
        <v>2356</v>
      </c>
      <c r="D110" s="448" t="s">
        <v>2357</v>
      </c>
      <c r="E110" s="472">
        <v>0.1</v>
      </c>
      <c r="F110" s="472">
        <v>15</v>
      </c>
    </row>
    <row r="111" spans="1:6" ht="24">
      <c r="A111" s="472">
        <v>39</v>
      </c>
      <c r="B111" s="3941"/>
      <c r="C111" s="472" t="s">
        <v>2358</v>
      </c>
      <c r="D111" s="448" t="s">
        <v>2359</v>
      </c>
      <c r="E111" s="472">
        <v>0.1</v>
      </c>
      <c r="F111" s="472">
        <v>15</v>
      </c>
    </row>
    <row r="112" spans="1:6" ht="24">
      <c r="A112" s="472">
        <v>40</v>
      </c>
      <c r="B112" s="3944"/>
      <c r="C112" s="472" t="s">
        <v>2360</v>
      </c>
      <c r="D112" s="448" t="s">
        <v>2361</v>
      </c>
      <c r="E112" s="472">
        <v>0.1</v>
      </c>
      <c r="F112" s="472">
        <v>15</v>
      </c>
    </row>
    <row r="113" spans="1:6" ht="13.5">
      <c r="A113" s="472">
        <v>41</v>
      </c>
      <c r="B113" s="3945" t="s">
        <v>1728</v>
      </c>
      <c r="C113" s="472" t="s">
        <v>2362</v>
      </c>
      <c r="D113" s="448" t="s">
        <v>2363</v>
      </c>
      <c r="E113" s="472">
        <v>0.1</v>
      </c>
      <c r="F113" s="472">
        <v>15</v>
      </c>
    </row>
    <row r="114" spans="1:6" ht="13.5">
      <c r="A114" s="472">
        <v>42</v>
      </c>
      <c r="B114" s="3945"/>
      <c r="C114" s="472" t="s">
        <v>2364</v>
      </c>
      <c r="D114" s="448" t="s">
        <v>2365</v>
      </c>
      <c r="E114" s="472">
        <v>0.1</v>
      </c>
      <c r="F114" s="472">
        <v>15</v>
      </c>
    </row>
    <row r="115" spans="1:6" ht="24">
      <c r="A115" s="472">
        <v>43</v>
      </c>
      <c r="B115" s="3945"/>
      <c r="C115" s="472" t="s">
        <v>2366</v>
      </c>
      <c r="D115" s="448" t="s">
        <v>2367</v>
      </c>
      <c r="E115" s="472">
        <v>0.1</v>
      </c>
      <c r="F115" s="472">
        <v>15</v>
      </c>
    </row>
    <row r="116" spans="1:6" ht="13.5">
      <c r="A116" s="472">
        <v>44</v>
      </c>
      <c r="B116" s="3943" t="s">
        <v>2368</v>
      </c>
      <c r="C116" s="472" t="s">
        <v>2369</v>
      </c>
      <c r="D116" s="448" t="s">
        <v>2370</v>
      </c>
      <c r="E116" s="472">
        <v>0.1</v>
      </c>
      <c r="F116" s="472">
        <v>15</v>
      </c>
    </row>
    <row r="117" spans="1:6" ht="24">
      <c r="A117" s="472">
        <v>45</v>
      </c>
      <c r="B117" s="3944"/>
      <c r="C117" s="448" t="s">
        <v>2371</v>
      </c>
      <c r="D117" s="448" t="s">
        <v>2372</v>
      </c>
      <c r="E117" s="472">
        <v>0.1</v>
      </c>
      <c r="F117" s="472">
        <v>15</v>
      </c>
    </row>
    <row r="118" spans="1:6" ht="24">
      <c r="A118" s="472">
        <v>46</v>
      </c>
      <c r="B118" s="3943" t="s">
        <v>2373</v>
      </c>
      <c r="C118" s="472" t="s">
        <v>2374</v>
      </c>
      <c r="D118" s="448" t="s">
        <v>2375</v>
      </c>
      <c r="E118" s="472">
        <v>0.1</v>
      </c>
      <c r="F118" s="472">
        <v>15</v>
      </c>
    </row>
    <row r="119" spans="1:6" ht="24">
      <c r="A119" s="472">
        <v>47</v>
      </c>
      <c r="B119" s="3944"/>
      <c r="C119" s="472" t="s">
        <v>2376</v>
      </c>
      <c r="D119" s="448" t="s">
        <v>2377</v>
      </c>
      <c r="E119" s="472">
        <v>0.1</v>
      </c>
      <c r="F119" s="472">
        <v>15</v>
      </c>
    </row>
    <row r="120" spans="1:6" ht="13.5">
      <c r="A120" s="472">
        <v>48</v>
      </c>
      <c r="B120" s="3943" t="s">
        <v>2378</v>
      </c>
      <c r="C120" s="472" t="s">
        <v>2379</v>
      </c>
      <c r="D120" s="448" t="s">
        <v>2380</v>
      </c>
      <c r="E120" s="472">
        <v>0.1</v>
      </c>
      <c r="F120" s="472">
        <v>15</v>
      </c>
    </row>
    <row r="121" spans="1:6" ht="13.5">
      <c r="A121" s="472">
        <v>49</v>
      </c>
      <c r="B121" s="3944"/>
      <c r="C121" s="472" t="s">
        <v>2381</v>
      </c>
      <c r="D121" s="448" t="s">
        <v>2382</v>
      </c>
      <c r="E121" s="472">
        <v>0.1</v>
      </c>
      <c r="F121" s="472">
        <v>15</v>
      </c>
    </row>
    <row r="122" spans="1:6" ht="24">
      <c r="A122" s="472">
        <v>50</v>
      </c>
      <c r="B122" s="3945" t="s">
        <v>2383</v>
      </c>
      <c r="C122" s="472" t="s">
        <v>2384</v>
      </c>
      <c r="D122" s="448" t="s">
        <v>2385</v>
      </c>
      <c r="E122" s="472">
        <v>0.1</v>
      </c>
      <c r="F122" s="472">
        <v>15</v>
      </c>
    </row>
    <row r="123" spans="1:6" ht="24">
      <c r="A123" s="472">
        <v>51</v>
      </c>
      <c r="B123" s="3945"/>
      <c r="C123" s="472" t="s">
        <v>2386</v>
      </c>
      <c r="D123" s="448" t="s">
        <v>2387</v>
      </c>
      <c r="E123" s="472">
        <v>0.1</v>
      </c>
      <c r="F123" s="472">
        <v>15</v>
      </c>
    </row>
    <row r="124" spans="1:6" ht="24">
      <c r="A124" s="472">
        <v>52</v>
      </c>
      <c r="B124" s="3945" t="s">
        <v>2388</v>
      </c>
      <c r="C124" s="472" t="s">
        <v>2389</v>
      </c>
      <c r="D124" s="448" t="s">
        <v>2390</v>
      </c>
      <c r="E124" s="472">
        <v>0.1</v>
      </c>
      <c r="F124" s="472">
        <v>15</v>
      </c>
    </row>
    <row r="125" spans="1:6" ht="24">
      <c r="A125" s="472">
        <v>53</v>
      </c>
      <c r="B125" s="3945"/>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45" t="s">
        <v>2396</v>
      </c>
      <c r="C127" s="472" t="s">
        <v>2397</v>
      </c>
      <c r="D127" s="448" t="s">
        <v>2398</v>
      </c>
      <c r="E127" s="472">
        <v>0.1</v>
      </c>
      <c r="F127" s="472">
        <v>15</v>
      </c>
    </row>
    <row r="128" spans="1:6" ht="13.5">
      <c r="A128" s="472">
        <v>56</v>
      </c>
      <c r="B128" s="3945"/>
      <c r="C128" s="472" t="s">
        <v>2399</v>
      </c>
      <c r="D128" s="448" t="s">
        <v>2400</v>
      </c>
      <c r="E128" s="472">
        <v>0.1</v>
      </c>
      <c r="F128" s="472">
        <v>15</v>
      </c>
    </row>
    <row r="129" spans="1:6" ht="24">
      <c r="A129" s="472">
        <v>57</v>
      </c>
      <c r="B129" s="3945"/>
      <c r="C129" s="472" t="s">
        <v>2401</v>
      </c>
      <c r="D129" s="448" t="s">
        <v>2402</v>
      </c>
      <c r="E129" s="472">
        <v>0.1</v>
      </c>
      <c r="F129" s="472">
        <v>15</v>
      </c>
    </row>
    <row r="130" spans="1:6" ht="24">
      <c r="A130" s="472">
        <v>58</v>
      </c>
      <c r="B130" s="3945" t="s">
        <v>2403</v>
      </c>
      <c r="C130" s="472" t="s">
        <v>2404</v>
      </c>
      <c r="D130" s="448" t="s">
        <v>2405</v>
      </c>
      <c r="E130" s="472">
        <v>0.1</v>
      </c>
      <c r="F130" s="472">
        <v>15</v>
      </c>
    </row>
    <row r="131" spans="1:6" ht="13.5">
      <c r="A131" s="472">
        <v>59</v>
      </c>
      <c r="B131" s="3945"/>
      <c r="C131" s="472" t="s">
        <v>2406</v>
      </c>
      <c r="D131" s="448" t="s">
        <v>2407</v>
      </c>
      <c r="E131" s="472">
        <v>0.1</v>
      </c>
      <c r="F131" s="472">
        <v>15</v>
      </c>
    </row>
    <row r="132" spans="1:6" ht="13.5">
      <c r="A132" s="472">
        <v>60</v>
      </c>
      <c r="B132" s="3943" t="s">
        <v>2408</v>
      </c>
      <c r="C132" s="472" t="s">
        <v>2409</v>
      </c>
      <c r="D132" s="448" t="s">
        <v>2410</v>
      </c>
      <c r="E132" s="472">
        <v>0.1</v>
      </c>
      <c r="F132" s="472">
        <v>15</v>
      </c>
    </row>
    <row r="133" spans="1:6" ht="13.5">
      <c r="A133" s="472">
        <v>61</v>
      </c>
      <c r="B133" s="3944"/>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45" t="s">
        <v>2416</v>
      </c>
      <c r="C135" s="472" t="s">
        <v>2417</v>
      </c>
      <c r="D135" s="448" t="s">
        <v>2418</v>
      </c>
      <c r="E135" s="472">
        <v>0.1</v>
      </c>
      <c r="F135" s="472">
        <v>15</v>
      </c>
    </row>
    <row r="136" spans="1:6" ht="13.5">
      <c r="A136" s="472">
        <v>64</v>
      </c>
      <c r="B136" s="3945"/>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27372</v>
      </c>
      <c r="C2" s="338" t="s">
        <v>1329</v>
      </c>
      <c r="D2" s="335"/>
      <c r="E2" s="335"/>
      <c r="F2" s="335"/>
      <c r="G2" s="335"/>
    </row>
    <row r="3" spans="1:7" s="324" customFormat="1" ht="18" customHeight="1">
      <c r="A3" s="339" t="s">
        <v>2437</v>
      </c>
      <c r="B3" s="340">
        <f ca="1">ROUND(B2*10000/'数据-汇总表'!E3,0)</f>
        <v>2729557</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2</v>
      </c>
      <c r="D9" s="362">
        <f>'数据-汇总表'!E5</f>
        <v>100.28</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2</v>
      </c>
      <c r="D19" s="347">
        <f>'数据-汇总表'!E3</f>
        <v>100.28</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3154</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3154</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27359</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10</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8</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2</v>
      </c>
      <c r="D37" s="352">
        <f>'数据-汇总表'!E3</f>
        <v>100.28</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794" t="s">
        <v>2496</v>
      </c>
    </row>
    <row r="43" spans="1:7" ht="13.5" customHeight="1">
      <c r="A43" s="377" t="s">
        <v>996</v>
      </c>
      <c r="B43" s="350" t="s">
        <v>2468</v>
      </c>
      <c r="C43" s="379">
        <f ca="1">ROUND(IF('数据-取费表'!B22&lt;=1,C39*F22*'数据-取费表'!B21/2,C39*(POWER((1+F22),'数据-取费表'!B21/2)-1)),0)</f>
        <v>0</v>
      </c>
      <c r="D43" s="379"/>
      <c r="E43" s="379"/>
      <c r="F43" s="380"/>
      <c r="G43" s="3795"/>
    </row>
    <row r="44" spans="1:7" ht="13.5" customHeight="1">
      <c r="A44" s="377" t="s">
        <v>998</v>
      </c>
      <c r="B44" s="350" t="s">
        <v>2470</v>
      </c>
      <c r="C44" s="379">
        <f ca="1">ROUND(IF('数据-取费表'!B22&lt;=1,C40*F22*'数据-取费表'!B21/2,C40*(POWER((1+F22),'数据-取费表'!B21/2)-1)),4)</f>
        <v>5.0000000000000001E-4</v>
      </c>
      <c r="D44" s="379"/>
      <c r="E44" s="379"/>
      <c r="F44" s="380"/>
      <c r="G44" s="3796"/>
    </row>
    <row r="45" spans="1:7" s="326" customFormat="1" ht="13.5" customHeight="1">
      <c r="A45" s="367" t="s">
        <v>2068</v>
      </c>
      <c r="B45" s="385" t="s">
        <v>2473</v>
      </c>
      <c r="C45" s="386">
        <f>C46</f>
        <v>2</v>
      </c>
      <c r="D45" s="372">
        <f>C47</f>
        <v>3.0000000000000001E-3</v>
      </c>
      <c r="E45" s="373" t="s">
        <v>2494</v>
      </c>
      <c r="F45" s="387"/>
      <c r="G45" s="388" t="s">
        <v>2497</v>
      </c>
    </row>
    <row r="46" spans="1:7" s="326" customFormat="1" ht="13.5" customHeight="1">
      <c r="A46" s="377" t="s">
        <v>994</v>
      </c>
      <c r="B46" s="389" t="s">
        <v>2498</v>
      </c>
      <c r="C46" s="390">
        <f>ROUND((C33+C39)*F27,0)</f>
        <v>2</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13</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13</v>
      </c>
      <c r="D51" s="369"/>
      <c r="E51" s="369"/>
      <c r="F51" s="404"/>
      <c r="G51" s="374" t="s">
        <v>2509</v>
      </c>
    </row>
    <row r="52" spans="1:7" s="325" customFormat="1" ht="15.75">
      <c r="A52" s="405" t="s">
        <v>2510</v>
      </c>
      <c r="B52" s="406"/>
      <c r="C52" s="407">
        <f ca="1">C31+C51</f>
        <v>27372</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46" t="s">
        <v>2514</v>
      </c>
      <c r="B1" s="3946"/>
      <c r="C1" s="3946"/>
      <c r="D1" s="3946"/>
      <c r="E1" s="3946"/>
      <c r="F1" s="3946"/>
      <c r="G1" s="394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4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4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50" t="s">
        <v>2898</v>
      </c>
      <c r="B1" s="395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51" t="s">
        <v>2903</v>
      </c>
      <c r="B1" s="3951"/>
      <c r="C1" s="3951"/>
      <c r="D1" s="3951"/>
      <c r="E1" s="3951"/>
      <c r="F1" s="395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37533</v>
      </c>
      <c r="B1" s="196" t="s">
        <v>2908</v>
      </c>
      <c r="C1" s="197"/>
      <c r="D1" s="197"/>
      <c r="E1" s="197"/>
      <c r="F1" s="197"/>
      <c r="G1" s="197"/>
      <c r="H1" s="197"/>
      <c r="I1" s="197"/>
      <c r="J1" s="215"/>
      <c r="K1" s="197" t="s">
        <v>2909</v>
      </c>
      <c r="L1" s="197"/>
      <c r="M1" s="197"/>
      <c r="N1" s="197"/>
      <c r="O1" s="197"/>
      <c r="P1" s="197"/>
      <c r="Q1" s="215"/>
      <c r="R1" s="3953" t="s">
        <v>2910</v>
      </c>
      <c r="S1" s="3954"/>
      <c r="T1" s="3954"/>
      <c r="U1" s="3954"/>
      <c r="V1" s="3954"/>
      <c r="W1" s="3954"/>
      <c r="X1" s="215"/>
      <c r="Y1" s="3953" t="s">
        <v>2911</v>
      </c>
      <c r="Z1" s="3954"/>
      <c r="AA1" s="3954"/>
      <c r="AB1" s="3954"/>
      <c r="AC1" s="3954"/>
      <c r="AD1" s="395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53" t="s">
        <v>2910</v>
      </c>
      <c r="S21" s="3954"/>
      <c r="T21" s="3954"/>
      <c r="U21" s="3954"/>
      <c r="V21" s="3954"/>
      <c r="W21" s="3954"/>
      <c r="X21" s="215"/>
      <c r="Y21" s="3953" t="s">
        <v>2911</v>
      </c>
      <c r="Z21" s="3954"/>
      <c r="AA21" s="3954"/>
      <c r="AB21" s="3954"/>
      <c r="AC21" s="3954"/>
      <c r="AD21" s="395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55" t="s">
        <v>2929</v>
      </c>
      <c r="C1" s="3955"/>
      <c r="D1" s="3955"/>
      <c r="E1" s="3955"/>
      <c r="F1" s="3955"/>
      <c r="G1" s="3954" t="s">
        <v>2930</v>
      </c>
      <c r="H1" s="3954"/>
      <c r="I1" s="3954"/>
      <c r="J1" s="3954"/>
      <c r="K1" s="3954"/>
      <c r="L1" s="3954"/>
      <c r="N1" s="3954" t="s">
        <v>2909</v>
      </c>
      <c r="O1" s="3954"/>
      <c r="P1" s="3954"/>
      <c r="Q1" s="3954"/>
      <c r="S1" s="3954" t="s">
        <v>2931</v>
      </c>
      <c r="T1" s="3954"/>
      <c r="U1" s="3954"/>
      <c r="V1" s="3954"/>
      <c r="X1" s="3953" t="s">
        <v>2910</v>
      </c>
      <c r="Y1" s="3954"/>
      <c r="Z1" s="3954"/>
      <c r="AA1" s="3954"/>
      <c r="AB1" s="3954"/>
      <c r="AD1" s="3953" t="s">
        <v>2911</v>
      </c>
      <c r="AE1" s="3954"/>
      <c r="AF1" s="3954"/>
      <c r="AG1" s="3954"/>
      <c r="AH1" s="395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5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5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5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5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5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5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5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5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5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5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5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59"/>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6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5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5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5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6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5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5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59"/>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6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6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6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6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6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5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5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5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6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5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5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59">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6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5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5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59">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6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5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5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5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6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5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5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5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6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5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5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59">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6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5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5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59">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6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5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5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59">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6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5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5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59">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60">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5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5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59">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60">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5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5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5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37533</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23" t="str">
        <f>IF(项目基本情况!B9="房地产市场价值","估价结果一览表","结果表-2")</f>
        <v>结果表-2</v>
      </c>
      <c r="B1" s="3623"/>
      <c r="C1" s="3623"/>
      <c r="D1" s="3623"/>
      <c r="E1" s="3623"/>
      <c r="F1" s="3623"/>
      <c r="G1" s="3623"/>
      <c r="H1" s="3623"/>
      <c r="I1" s="3623"/>
    </row>
    <row r="2" spans="1:9" ht="30" customHeight="1">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spans="1:9" ht="15">
      <c r="A3" s="3625"/>
      <c r="B3" s="3625"/>
      <c r="C3" s="3625"/>
      <c r="D3" s="3502" t="s">
        <v>110</v>
      </c>
      <c r="E3" s="3502" t="s">
        <v>111</v>
      </c>
      <c r="F3" s="3502" t="s">
        <v>110</v>
      </c>
      <c r="G3" s="3502" t="s">
        <v>111</v>
      </c>
      <c r="H3" s="3502" t="s">
        <v>110</v>
      </c>
      <c r="I3" s="3502" t="s">
        <v>111</v>
      </c>
    </row>
    <row r="4" spans="1:9" ht="15">
      <c r="A4" s="3503" t="str">
        <f>项目基本情况!S2</f>
        <v>北京市房地产</v>
      </c>
      <c r="B4" s="3502">
        <f>项目基本情况!C17</f>
        <v>100.28</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25" t="s">
        <v>112</v>
      </c>
      <c r="B5" s="3625"/>
      <c r="C5" s="3625"/>
      <c r="D5" s="3625" t="e">
        <f ca="1">结果表!D119</f>
        <v>#REF!</v>
      </c>
      <c r="E5" s="3625"/>
      <c r="F5" s="3625" t="e">
        <f ca="1">结果表!F119</f>
        <v>#REF!</v>
      </c>
      <c r="G5" s="3625"/>
      <c r="H5" s="3625" t="e">
        <f ca="1">结果表!H119</f>
        <v>#REF!</v>
      </c>
      <c r="I5" s="3625"/>
    </row>
    <row r="6" spans="1:9" ht="15.75">
      <c r="A6" s="3626" t="str">
        <f>结果表!A120</f>
        <v>估价师知悉的法定优先受偿款</v>
      </c>
      <c r="B6" s="3626"/>
      <c r="C6" s="3626"/>
      <c r="D6" s="3626">
        <f>结果表!D120</f>
        <v>0</v>
      </c>
      <c r="E6" s="3626"/>
      <c r="F6" s="3626"/>
      <c r="G6" s="3626"/>
      <c r="H6" s="3626"/>
      <c r="I6" s="3626"/>
    </row>
    <row r="7" spans="1:9" ht="15">
      <c r="A7" s="3625" t="s">
        <v>112</v>
      </c>
      <c r="B7" s="3625"/>
      <c r="C7" s="3625"/>
      <c r="D7" s="3627" t="str">
        <f>结果表!D121</f>
        <v>零元整</v>
      </c>
      <c r="E7" s="3628"/>
      <c r="F7" s="3628"/>
      <c r="G7" s="3628"/>
      <c r="H7" s="3628"/>
      <c r="I7" s="3629"/>
    </row>
    <row r="8" spans="1:9" ht="15.75">
      <c r="A8" s="3626" t="str">
        <f>结果表!A122</f>
        <v>房地产抵押价值</v>
      </c>
      <c r="B8" s="3626"/>
      <c r="C8" s="3626"/>
      <c r="D8" s="3626" t="e">
        <f ca="1">结果表!D122</f>
        <v>#REF!</v>
      </c>
      <c r="E8" s="3626"/>
      <c r="F8" s="3626"/>
      <c r="G8" s="3626"/>
      <c r="H8" s="3626"/>
      <c r="I8" s="3626"/>
    </row>
    <row r="9" spans="1:9" ht="15">
      <c r="A9" s="3625" t="s">
        <v>112</v>
      </c>
      <c r="B9" s="3625"/>
      <c r="C9" s="3625"/>
      <c r="D9" s="3625" t="e">
        <f ca="1">结果表!D123</f>
        <v>#REF!</v>
      </c>
      <c r="E9" s="3625"/>
      <c r="F9" s="3625"/>
      <c r="G9" s="3625"/>
      <c r="H9" s="3625"/>
      <c r="I9" s="3625"/>
    </row>
    <row r="10" spans="1:9" ht="15.75">
      <c r="A10" s="3626" t="str">
        <f>结果表!A124</f>
        <v/>
      </c>
      <c r="B10" s="3626"/>
      <c r="C10" s="3626"/>
      <c r="D10" s="3626" t="str">
        <f>结果表!D124</f>
        <v>——</v>
      </c>
      <c r="E10" s="3626"/>
      <c r="F10" s="3626"/>
      <c r="G10" s="3626"/>
      <c r="H10" s="3626"/>
      <c r="I10" s="3626"/>
    </row>
    <row r="11" spans="1:9" ht="15">
      <c r="A11" s="3625" t="s">
        <v>112</v>
      </c>
      <c r="B11" s="3625"/>
      <c r="C11" s="3625"/>
      <c r="D11" s="3625" t="e">
        <f>结果表!D125</f>
        <v>#VALUE!</v>
      </c>
      <c r="E11" s="3625"/>
      <c r="F11" s="3625"/>
      <c r="G11" s="3625"/>
      <c r="H11" s="3625"/>
      <c r="I11" s="3625"/>
    </row>
    <row r="12" spans="1:9" ht="15.75">
      <c r="A12" s="3626" t="str">
        <f>结果表!A126</f>
        <v/>
      </c>
      <c r="B12" s="3626"/>
      <c r="C12" s="3626"/>
      <c r="D12" s="3626" t="str">
        <f>结果表!D126</f>
        <v>——</v>
      </c>
      <c r="E12" s="3626"/>
      <c r="F12" s="3626"/>
      <c r="G12" s="3626"/>
      <c r="H12" s="3626"/>
      <c r="I12" s="3626"/>
    </row>
    <row r="13" spans="1:9" ht="15">
      <c r="A13" s="3630" t="s">
        <v>112</v>
      </c>
      <c r="B13" s="3630"/>
      <c r="C13" s="3630"/>
      <c r="D13" s="3630" t="e">
        <f>结果表!D127</f>
        <v>#VALUE!</v>
      </c>
      <c r="E13" s="3630"/>
      <c r="F13" s="3630"/>
      <c r="G13" s="3630"/>
      <c r="H13" s="3630"/>
      <c r="I13" s="3630"/>
    </row>
    <row r="14" spans="1:9">
      <c r="A14" s="3631" t="s">
        <v>113</v>
      </c>
      <c r="B14" s="3631"/>
      <c r="C14" s="3631"/>
      <c r="D14" s="3631"/>
      <c r="E14" s="3631"/>
      <c r="F14" s="3631"/>
      <c r="G14" s="3631"/>
      <c r="H14" s="3631"/>
      <c r="I14" s="3631"/>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32" t="s">
        <v>114</v>
      </c>
      <c r="B1" s="3632"/>
      <c r="C1" s="3632"/>
      <c r="D1" s="3632"/>
    </row>
    <row r="2" spans="1:4" ht="18">
      <c r="A2" s="3633" t="s">
        <v>115</v>
      </c>
      <c r="B2" s="3633"/>
      <c r="C2" s="3633"/>
      <c r="D2" s="3633"/>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33" t="s">
        <v>121</v>
      </c>
      <c r="B6" s="3633"/>
      <c r="C6" s="3633"/>
      <c r="D6" s="3633"/>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34" t="s">
        <v>126</v>
      </c>
      <c r="B11" s="3635"/>
      <c r="C11" s="3635"/>
      <c r="D11" s="3635"/>
    </row>
    <row r="12" spans="1:4" ht="15.75">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spans="1:4" ht="30" customHeight="1">
      <c r="A13" s="3635" t="str">
        <f>IF(项目基本情况!B8="抵押","3.抵押双方在办理抵押登记手续时，应使用本公司出具的正式《房地产评估报告》，特提醒报告使用者注意。","——")</f>
        <v>——</v>
      </c>
      <c r="B13" s="3636"/>
      <c r="C13" s="3636"/>
      <c r="D13" s="3636"/>
    </row>
    <row r="14" spans="1:4" ht="15.75" customHeight="1">
      <c r="A14" s="3635" t="str">
        <f>IF(项目基本情况!B8="抵押","4.本次评估估价师所知悉的法定优先受偿款情况说明如下：","——")</f>
        <v>——</v>
      </c>
      <c r="B14" s="3636"/>
      <c r="C14" s="3636"/>
      <c r="D14" s="3636"/>
    </row>
    <row r="15" spans="1:4" ht="42" customHeight="1">
      <c r="A15" s="3635" t="str">
        <f>IF(项目基本情况!B8="抵押","（1）"&amp;CONCATENATE(项目基本情况!L20,项目基本情况!L21,项目基本情况!L22),"——")</f>
        <v>——</v>
      </c>
      <c r="B15" s="3635"/>
      <c r="C15" s="3635"/>
      <c r="D15" s="3635"/>
    </row>
    <row r="16" spans="1:4" ht="30" customHeight="1">
      <c r="A16" s="3637" t="s">
        <v>127</v>
      </c>
      <c r="B16" s="3637"/>
      <c r="C16" s="3637"/>
      <c r="D16" s="3637"/>
    </row>
    <row r="17" spans="1:4" ht="144" customHeight="1">
      <c r="A17" s="3637" t="s">
        <v>128</v>
      </c>
      <c r="B17" s="3637"/>
      <c r="C17" s="3637"/>
      <c r="D17" s="3637"/>
    </row>
    <row r="18" spans="1:4" ht="15.75" customHeight="1">
      <c r="A18" s="3635" t="str">
        <f>IF(项目基本情况!B8="抵押",结果表!K120,"——")</f>
        <v>——</v>
      </c>
      <c r="B18" s="3635"/>
      <c r="C18" s="3635"/>
      <c r="D18" s="3635"/>
    </row>
    <row r="19" spans="1:4" ht="46.5" customHeight="1">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spans="1:4" ht="57.75" customHeight="1">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spans="1:4" ht="57.75" customHeight="1">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spans="1:4" ht="18.75" customHeight="1">
      <c r="A22" s="3640" t="s">
        <v>129</v>
      </c>
      <c r="B22" s="3640"/>
      <c r="C22" s="3640"/>
      <c r="D22" s="3640"/>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38">
        <v>42551</v>
      </c>
      <c r="D31" s="36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43" t="s">
        <v>146</v>
      </c>
      <c r="B15" s="3648" t="s">
        <v>147</v>
      </c>
      <c r="C15" s="3642"/>
    </row>
    <row r="16" spans="1:7" ht="13.5">
      <c r="A16" s="3644"/>
      <c r="B16" s="3648" t="s">
        <v>148</v>
      </c>
      <c r="C16" s="3642"/>
    </row>
    <row r="17" spans="1:3" ht="13.5">
      <c r="A17" s="3644"/>
      <c r="B17" s="3647" t="s">
        <v>149</v>
      </c>
      <c r="C17" s="3481" t="s">
        <v>146</v>
      </c>
    </row>
    <row r="18" spans="1:3" ht="13.5">
      <c r="A18" s="3644"/>
      <c r="B18" s="3647"/>
      <c r="C18" s="3481" t="s">
        <v>150</v>
      </c>
    </row>
    <row r="19" spans="1:3" ht="13.5">
      <c r="A19" s="3644"/>
      <c r="B19" s="3647"/>
      <c r="C19" s="3481" t="s">
        <v>151</v>
      </c>
    </row>
    <row r="20" spans="1:3" ht="13.5">
      <c r="A20" s="3645"/>
      <c r="B20" s="3641" t="s">
        <v>152</v>
      </c>
      <c r="C20" s="3642"/>
    </row>
    <row r="21" spans="1:3" ht="13.5">
      <c r="A21" s="3482" t="s">
        <v>153</v>
      </c>
      <c r="B21" s="3483"/>
      <c r="C21" s="3484"/>
    </row>
    <row r="22" spans="1:3" ht="13.5">
      <c r="A22" s="3646" t="s">
        <v>154</v>
      </c>
      <c r="B22" s="3641" t="s">
        <v>155</v>
      </c>
      <c r="C22" s="3642"/>
    </row>
    <row r="23" spans="1:3" ht="13.5">
      <c r="A23" s="3646"/>
      <c r="B23" s="3641" t="s">
        <v>156</v>
      </c>
      <c r="C23" s="3642"/>
    </row>
    <row r="24" spans="1:3" ht="13.5">
      <c r="A24" s="3646"/>
      <c r="B24" s="3641" t="s">
        <v>157</v>
      </c>
      <c r="C24" s="3642"/>
    </row>
    <row r="25" spans="1:3" ht="13.5">
      <c r="A25" s="3646"/>
      <c r="B25" s="3647" t="s">
        <v>158</v>
      </c>
      <c r="C25" s="3481" t="s">
        <v>159</v>
      </c>
    </row>
    <row r="26" spans="1:3" ht="13.5">
      <c r="A26" s="3646"/>
      <c r="B26" s="3647"/>
      <c r="C26" s="3481" t="s">
        <v>160</v>
      </c>
    </row>
    <row r="27" spans="1:3" ht="13.5">
      <c r="A27" s="3646"/>
      <c r="B27" s="3647"/>
      <c r="C27" s="3481" t="s">
        <v>161</v>
      </c>
    </row>
    <row r="28" spans="1:3" ht="13.5">
      <c r="A28" s="3646"/>
      <c r="B28" s="3647"/>
      <c r="C28" s="3481" t="s">
        <v>162</v>
      </c>
    </row>
    <row r="29" spans="1:3" ht="13.5">
      <c r="A29" s="3646"/>
      <c r="B29" s="3647"/>
      <c r="C29" s="3481" t="s">
        <v>163</v>
      </c>
    </row>
    <row r="30" spans="1:3" ht="13.5">
      <c r="A30" s="3646"/>
      <c r="B30" s="3647"/>
      <c r="C30" s="3481" t="s">
        <v>164</v>
      </c>
    </row>
    <row r="31" spans="1:3" ht="13.5">
      <c r="A31" s="3646"/>
      <c r="B31" s="3647"/>
      <c r="C31" s="3481" t="s">
        <v>165</v>
      </c>
    </row>
    <row r="32" spans="1:3" ht="13.5">
      <c r="A32" s="3646"/>
      <c r="B32" s="3647"/>
      <c r="C32" s="3481" t="s">
        <v>166</v>
      </c>
    </row>
    <row r="33" spans="1:3" ht="13.5">
      <c r="A33" s="3646"/>
      <c r="B33" s="364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45341</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49" t="s">
        <v>197</v>
      </c>
      <c r="B17" s="3649"/>
      <c r="C17" s="3649"/>
      <c r="D17" s="3649"/>
      <c r="E17" s="3649"/>
      <c r="F17" s="3649"/>
      <c r="G17" s="3649"/>
      <c r="H17" s="3649"/>
    </row>
    <row r="18" spans="1:8" ht="24" customHeight="1">
      <c r="A18" s="3650" t="s">
        <v>198</v>
      </c>
      <c r="B18" s="3650"/>
      <c r="C18" s="3650"/>
      <c r="D18" s="3450"/>
      <c r="E18" s="3651" t="s">
        <v>199</v>
      </c>
      <c r="F18" s="3650"/>
      <c r="G18" s="365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2024-02-19T02:25:23Z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