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44EF10EE-67CA-4598-B402-8501962C3F28}" xr6:coauthVersionLast="47" xr6:coauthVersionMax="47" xr10:uidLastSave="{00000000-0000-0000-0000-000000000000}"/>
  <bookViews>
    <workbookView xWindow="-108" yWindow="-108" windowWidth="23256" windowHeight="12576" tabRatio="854"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85" l="1"/>
  <c r="Q72" i="86"/>
  <c r="C62" i="86"/>
  <c r="P61" i="86"/>
  <c r="F61" i="86"/>
  <c r="C61" i="86"/>
  <c r="C60" i="86"/>
  <c r="Q59" i="86"/>
  <c r="K59" i="86"/>
  <c r="P74" i="86" s="1"/>
  <c r="Q58" i="86"/>
  <c r="Q51" i="86"/>
  <c r="J51" i="86"/>
  <c r="J50" i="86"/>
  <c r="J49" i="86"/>
  <c r="M47" i="86"/>
  <c r="D46" i="86"/>
  <c r="F34" i="86"/>
  <c r="F62" i="86" s="1"/>
  <c r="C34" i="86"/>
  <c r="F33" i="86"/>
  <c r="C33" i="86"/>
  <c r="F32" i="86"/>
  <c r="F60" i="86" s="1"/>
  <c r="C32" i="86"/>
  <c r="F28" i="86"/>
  <c r="C28" i="86"/>
  <c r="D24" i="86"/>
  <c r="F23" i="86"/>
  <c r="D23" i="86"/>
  <c r="D22" i="86"/>
  <c r="F21" i="86"/>
  <c r="M20" i="86"/>
  <c r="F20" i="86"/>
  <c r="M19" i="86"/>
  <c r="M18" i="86"/>
  <c r="F18" i="86"/>
  <c r="F17" i="86"/>
  <c r="F15" i="86"/>
  <c r="G1" i="86"/>
  <c r="B130" i="85"/>
  <c r="B128" i="85"/>
  <c r="B126" i="85"/>
  <c r="F125" i="85"/>
  <c r="G125" i="85" s="1"/>
  <c r="D125" i="85"/>
  <c r="E125" i="85" s="1"/>
  <c r="H123" i="85"/>
  <c r="I123" i="85" s="1"/>
  <c r="J123" i="85" s="1"/>
  <c r="K123" i="85" s="1"/>
  <c r="L123" i="85" s="1"/>
  <c r="M123" i="85" s="1"/>
  <c r="D123" i="85"/>
  <c r="E123" i="85" s="1"/>
  <c r="F123" i="85" s="1"/>
  <c r="G123" i="85" s="1"/>
  <c r="D121" i="85"/>
  <c r="E121" i="85" s="1"/>
  <c r="F121" i="85" s="1"/>
  <c r="G121" i="85" s="1"/>
  <c r="H121" i="85" s="1"/>
  <c r="I121" i="85" s="1"/>
  <c r="J121" i="85" s="1"/>
  <c r="K121" i="85" s="1"/>
  <c r="L121" i="85" s="1"/>
  <c r="M121" i="85" s="1"/>
  <c r="F117" i="85"/>
  <c r="G117" i="85" s="1"/>
  <c r="D117" i="85"/>
  <c r="E117" i="85" s="1"/>
  <c r="H115" i="85"/>
  <c r="I115" i="85" s="1"/>
  <c r="J115" i="85" s="1"/>
  <c r="K115" i="85" s="1"/>
  <c r="L115" i="85" s="1"/>
  <c r="M115" i="85" s="1"/>
  <c r="D115" i="85"/>
  <c r="E115" i="85" s="1"/>
  <c r="F115" i="85" s="1"/>
  <c r="G115" i="85" s="1"/>
  <c r="F113" i="85"/>
  <c r="G113" i="85" s="1"/>
  <c r="H113" i="85" s="1"/>
  <c r="I113" i="85" s="1"/>
  <c r="J113" i="85" s="1"/>
  <c r="K113" i="85" s="1"/>
  <c r="L113" i="85" s="1"/>
  <c r="M113" i="85" s="1"/>
  <c r="D113" i="85"/>
  <c r="E113" i="85" s="1"/>
  <c r="D111" i="85"/>
  <c r="E111" i="85" s="1"/>
  <c r="G109" i="85"/>
  <c r="F109" i="85"/>
  <c r="E109" i="85"/>
  <c r="D109" i="85"/>
  <c r="C109" i="85"/>
  <c r="E108" i="85"/>
  <c r="F108" i="85" s="1"/>
  <c r="G108" i="85" s="1"/>
  <c r="H108" i="85" s="1"/>
  <c r="I108" i="85" s="1"/>
  <c r="J108" i="85" s="1"/>
  <c r="K108" i="85" s="1"/>
  <c r="L108" i="85" s="1"/>
  <c r="M108" i="85" s="1"/>
  <c r="D108" i="85"/>
  <c r="E106" i="85"/>
  <c r="D106" i="85"/>
  <c r="M102" i="85"/>
  <c r="L102" i="85"/>
  <c r="K102" i="85"/>
  <c r="J102" i="85"/>
  <c r="I102" i="85"/>
  <c r="H102" i="85"/>
  <c r="G102" i="85"/>
  <c r="F102" i="85"/>
  <c r="E102" i="85"/>
  <c r="D102" i="85"/>
  <c r="C102" i="85"/>
  <c r="D101" i="85"/>
  <c r="O100" i="85"/>
  <c r="P99" i="85"/>
  <c r="O99" i="85"/>
  <c r="P98" i="85"/>
  <c r="O98" i="85"/>
  <c r="B98" i="85"/>
  <c r="P97" i="85"/>
  <c r="O97" i="85"/>
  <c r="B96" i="85"/>
  <c r="T95" i="85"/>
  <c r="T94" i="85"/>
  <c r="J29" i="85" s="1"/>
  <c r="B94" i="85"/>
  <c r="T93" i="85"/>
  <c r="T92" i="85"/>
  <c r="B92" i="85"/>
  <c r="D91" i="85"/>
  <c r="E91" i="85" s="1"/>
  <c r="B90" i="85"/>
  <c r="E89" i="85"/>
  <c r="F89" i="85" s="1"/>
  <c r="G89" i="85" s="1"/>
  <c r="D89" i="85"/>
  <c r="B88" i="85"/>
  <c r="J87" i="85"/>
  <c r="K87" i="85" s="1"/>
  <c r="L87" i="85" s="1"/>
  <c r="M87" i="85" s="1"/>
  <c r="H87" i="85"/>
  <c r="I87" i="85" s="1"/>
  <c r="F87" i="85"/>
  <c r="G87" i="85" s="1"/>
  <c r="D87" i="85"/>
  <c r="E87" i="85" s="1"/>
  <c r="F85" i="85"/>
  <c r="G85" i="85" s="1"/>
  <c r="D85" i="85"/>
  <c r="E85" i="85" s="1"/>
  <c r="F83" i="85"/>
  <c r="G83" i="85" s="1"/>
  <c r="D83" i="85"/>
  <c r="E83" i="85" s="1"/>
  <c r="F81" i="85"/>
  <c r="G81" i="85" s="1"/>
  <c r="D81" i="85"/>
  <c r="E81" i="85" s="1"/>
  <c r="F79" i="85"/>
  <c r="G79" i="85" s="1"/>
  <c r="D79" i="85"/>
  <c r="E79" i="85" s="1"/>
  <c r="F77" i="85"/>
  <c r="G77" i="85" s="1"/>
  <c r="D77" i="85"/>
  <c r="E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C58" i="85"/>
  <c r="D58" i="85" s="1"/>
  <c r="E58" i="85" s="1"/>
  <c r="I54" i="85"/>
  <c r="J54" i="85" s="1"/>
  <c r="G54" i="85"/>
  <c r="H54" i="85" s="1"/>
  <c r="E54" i="85"/>
  <c r="F54" i="85" s="1"/>
  <c r="P49" i="85"/>
  <c r="P48" i="85"/>
  <c r="K48" i="85"/>
  <c r="V47" i="85"/>
  <c r="T47" i="85"/>
  <c r="R47" i="85"/>
  <c r="P47" i="85"/>
  <c r="U46" i="85"/>
  <c r="Q46" i="85"/>
  <c r="Z46" i="85" s="1"/>
  <c r="H46" i="85"/>
  <c r="AB46" i="85" s="1"/>
  <c r="AA45" i="85"/>
  <c r="Q45" i="85"/>
  <c r="Z45" i="85" s="1"/>
  <c r="J45" i="85"/>
  <c r="AC45" i="85" s="1"/>
  <c r="H45" i="85"/>
  <c r="F45" i="85"/>
  <c r="S45" i="85" s="1"/>
  <c r="AA44" i="85"/>
  <c r="Z44" i="85"/>
  <c r="Q44" i="85"/>
  <c r="J44" i="85"/>
  <c r="AC44" i="85" s="1"/>
  <c r="H44" i="85"/>
  <c r="U44" i="85" s="1"/>
  <c r="F44" i="85"/>
  <c r="S44" i="85" s="1"/>
  <c r="AC43" i="85"/>
  <c r="W43" i="85"/>
  <c r="U43" i="85"/>
  <c r="Q43" i="85"/>
  <c r="Z43" i="85" s="1"/>
  <c r="J43" i="85"/>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W40" i="85" s="1"/>
  <c r="H40" i="85"/>
  <c r="AB40" i="85" s="1"/>
  <c r="F40" i="85"/>
  <c r="AA40" i="85" s="1"/>
  <c r="AB39" i="85"/>
  <c r="Q39" i="85"/>
  <c r="Z39" i="85" s="1"/>
  <c r="J39" i="85"/>
  <c r="W39" i="85" s="1"/>
  <c r="H39" i="85"/>
  <c r="U39" i="85" s="1"/>
  <c r="F39" i="85"/>
  <c r="AA39" i="85" s="1"/>
  <c r="AB38" i="85"/>
  <c r="AA38" i="85"/>
  <c r="Q38" i="85"/>
  <c r="Z38" i="85" s="1"/>
  <c r="J38" i="85"/>
  <c r="AC38" i="85" s="1"/>
  <c r="H38" i="85"/>
  <c r="U38" i="85" s="1"/>
  <c r="F38" i="85"/>
  <c r="S38" i="85" s="1"/>
  <c r="AA37" i="85"/>
  <c r="Z37" i="85"/>
  <c r="Q37" i="85"/>
  <c r="J37" i="85"/>
  <c r="AC37" i="85" s="1"/>
  <c r="H37" i="85"/>
  <c r="AB37" i="85" s="1"/>
  <c r="F37" i="85"/>
  <c r="S37" i="85" s="1"/>
  <c r="Z36" i="85"/>
  <c r="W36" i="85"/>
  <c r="Q36" i="85"/>
  <c r="J36" i="85"/>
  <c r="AC36" i="85" s="1"/>
  <c r="AB35" i="85"/>
  <c r="Q35" i="85"/>
  <c r="Z35" i="85" s="1"/>
  <c r="J35" i="85"/>
  <c r="W35" i="85" s="1"/>
  <c r="H35" i="85"/>
  <c r="U35" i="85" s="1"/>
  <c r="F35" i="85"/>
  <c r="AA35" i="85" s="1"/>
  <c r="AA34" i="85"/>
  <c r="Q34" i="85"/>
  <c r="Z34" i="85" s="1"/>
  <c r="H34" i="85"/>
  <c r="U34" i="85" s="1"/>
  <c r="F34" i="85"/>
  <c r="S34" i="85" s="1"/>
  <c r="Z33" i="85"/>
  <c r="Q33" i="85"/>
  <c r="Q32" i="85"/>
  <c r="Z32" i="85" s="1"/>
  <c r="F32" i="85"/>
  <c r="AA32" i="85" s="1"/>
  <c r="W31" i="85"/>
  <c r="Q31" i="85"/>
  <c r="Z31" i="85" s="1"/>
  <c r="J31" i="85"/>
  <c r="AC31" i="85" s="1"/>
  <c r="W30" i="85"/>
  <c r="Q30" i="85"/>
  <c r="Z30" i="85" s="1"/>
  <c r="J30" i="85"/>
  <c r="AC30" i="85" s="1"/>
  <c r="H30" i="85"/>
  <c r="U30" i="85" s="1"/>
  <c r="F30" i="85"/>
  <c r="AA30" i="85" s="1"/>
  <c r="Q29" i="85"/>
  <c r="Z29" i="85" s="1"/>
  <c r="F29" i="85"/>
  <c r="S29" i="85" s="1"/>
  <c r="Q28" i="85"/>
  <c r="Z28" i="85" s="1"/>
  <c r="Z27" i="85"/>
  <c r="Q27" i="85"/>
  <c r="AB26" i="85"/>
  <c r="Q26" i="85"/>
  <c r="Z26" i="85" s="1"/>
  <c r="J26" i="85"/>
  <c r="W26" i="85" s="1"/>
  <c r="H26" i="85"/>
  <c r="U26" i="85" s="1"/>
  <c r="F26" i="85"/>
  <c r="AA26" i="85" s="1"/>
  <c r="AB25" i="85"/>
  <c r="AA25" i="85"/>
  <c r="Q25" i="85"/>
  <c r="Z25" i="85" s="1"/>
  <c r="J25" i="85"/>
  <c r="AC25" i="85" s="1"/>
  <c r="H25" i="85"/>
  <c r="U25" i="85" s="1"/>
  <c r="F25" i="85"/>
  <c r="S25" i="85" s="1"/>
  <c r="Z23" i="85"/>
  <c r="Q23" i="85"/>
  <c r="F23" i="85"/>
  <c r="S23" i="85" s="1"/>
  <c r="C23" i="85"/>
  <c r="Q21" i="85"/>
  <c r="Z21" i="85" s="1"/>
  <c r="J21" i="85"/>
  <c r="AC21" i="85" s="1"/>
  <c r="H21" i="85"/>
  <c r="AB21" i="85" s="1"/>
  <c r="F21" i="85"/>
  <c r="AA21" i="85" s="1"/>
  <c r="C21" i="85"/>
  <c r="S19" i="85"/>
  <c r="Q19" i="85"/>
  <c r="Z19" i="85" s="1"/>
  <c r="F19" i="85"/>
  <c r="AA19" i="85" s="1"/>
  <c r="C19" i="85"/>
  <c r="AA17" i="85"/>
  <c r="Z17" i="85"/>
  <c r="Q17" i="85"/>
  <c r="J17" i="85"/>
  <c r="AC17" i="85" s="1"/>
  <c r="H17" i="85"/>
  <c r="AB17" i="85" s="1"/>
  <c r="F17" i="85"/>
  <c r="S17" i="85" s="1"/>
  <c r="C17" i="85"/>
  <c r="Q15" i="85"/>
  <c r="Z15" i="85" s="1"/>
  <c r="C15" i="85"/>
  <c r="AC14" i="85"/>
  <c r="W14" i="85"/>
  <c r="Q14" i="85"/>
  <c r="Z14" i="85" s="1"/>
  <c r="J14" i="85"/>
  <c r="H14" i="85"/>
  <c r="AB14" i="85" s="1"/>
  <c r="F14" i="85"/>
  <c r="AA14" i="85" s="1"/>
  <c r="Z13" i="85"/>
  <c r="W13" i="85"/>
  <c r="Q13" i="85"/>
  <c r="J13" i="85"/>
  <c r="AC13" i="85" s="1"/>
  <c r="H13" i="85"/>
  <c r="U13" i="85" s="1"/>
  <c r="F13" i="85"/>
  <c r="AA13" i="85" s="1"/>
  <c r="AB12" i="85"/>
  <c r="AA12" i="85"/>
  <c r="Q12" i="85"/>
  <c r="Z12" i="85" s="1"/>
  <c r="J12" i="85"/>
  <c r="W12" i="85" s="1"/>
  <c r="H12" i="85"/>
  <c r="U12" i="85" s="1"/>
  <c r="F12" i="85"/>
  <c r="S12" i="85" s="1"/>
  <c r="AB11" i="85"/>
  <c r="Q11" i="85"/>
  <c r="Z11" i="85" s="1"/>
  <c r="J11" i="85"/>
  <c r="H11" i="85"/>
  <c r="U11" i="85" s="1"/>
  <c r="F11" i="85"/>
  <c r="AA11" i="85" s="1"/>
  <c r="Q10" i="85"/>
  <c r="Z10" i="85" s="1"/>
  <c r="J10" i="85"/>
  <c r="AC10" i="85" s="1"/>
  <c r="H10" i="85"/>
  <c r="AB10" i="85" s="1"/>
  <c r="F10" i="85"/>
  <c r="AA10" i="85" s="1"/>
  <c r="Q9" i="85"/>
  <c r="Z9" i="85" s="1"/>
  <c r="J9" i="85"/>
  <c r="AC9" i="85" s="1"/>
  <c r="H9" i="85"/>
  <c r="AB9" i="85" s="1"/>
  <c r="F9" i="85"/>
  <c r="AA9" i="85" s="1"/>
  <c r="AC8" i="85"/>
  <c r="AB8" i="85"/>
  <c r="U8" i="85"/>
  <c r="S8" i="85"/>
  <c r="J8" i="85"/>
  <c r="W8" i="85" s="1"/>
  <c r="H8" i="85"/>
  <c r="F8" i="85"/>
  <c r="AA8" i="85" s="1"/>
  <c r="C7" i="85"/>
  <c r="D3" i="85"/>
  <c r="A126" i="84"/>
  <c r="A120" i="84"/>
  <c r="B118" i="84"/>
  <c r="A118" i="84"/>
  <c r="H112" i="84"/>
  <c r="H111" i="84"/>
  <c r="D126" i="84" s="1"/>
  <c r="D127" i="84" s="1"/>
  <c r="E111" i="84"/>
  <c r="E109" i="84"/>
  <c r="A124" i="84" s="1"/>
  <c r="E107" i="84"/>
  <c r="A122" i="84" s="1"/>
  <c r="H106" i="84"/>
  <c r="H103" i="84" s="1"/>
  <c r="D120" i="84" s="1"/>
  <c r="H105" i="84"/>
  <c r="H104" i="84"/>
  <c r="D101" i="84"/>
  <c r="C101" i="84"/>
  <c r="D93" i="84"/>
  <c r="C91" i="84"/>
  <c r="E90" i="84"/>
  <c r="D89" i="84"/>
  <c r="C89" i="84" s="1"/>
  <c r="C87" i="84" s="1"/>
  <c r="D78" i="84"/>
  <c r="H77" i="84"/>
  <c r="D77" i="84"/>
  <c r="C77" i="84"/>
  <c r="C76" i="84"/>
  <c r="C74" i="84" s="1"/>
  <c r="D68" i="84"/>
  <c r="F59" i="84"/>
  <c r="O55" i="84" s="1"/>
  <c r="E59" i="84"/>
  <c r="J57" i="84"/>
  <c r="J59" i="84" s="1"/>
  <c r="J61" i="84" s="1"/>
  <c r="N56" i="84"/>
  <c r="M56" i="84"/>
  <c r="K56" i="84"/>
  <c r="J56" i="84"/>
  <c r="F56" i="84"/>
  <c r="O54" i="84" s="1"/>
  <c r="N55" i="84"/>
  <c r="K55" i="84"/>
  <c r="J55" i="84"/>
  <c r="I55" i="84"/>
  <c r="F55" i="84"/>
  <c r="O53" i="84" s="1"/>
  <c r="N54" i="84"/>
  <c r="F54" i="84"/>
  <c r="N53" i="84"/>
  <c r="F53" i="84"/>
  <c r="F52" i="84"/>
  <c r="K49" i="84"/>
  <c r="F48" i="84"/>
  <c r="O52" i="84" s="1"/>
  <c r="E48" i="84"/>
  <c r="N52" i="84" s="1"/>
  <c r="M47" i="84"/>
  <c r="F33" i="84"/>
  <c r="D27" i="84"/>
  <c r="C25" i="84"/>
  <c r="C24" i="84"/>
  <c r="M19" i="84"/>
  <c r="C118" i="84" s="1"/>
  <c r="L19" i="84"/>
  <c r="M18" i="84"/>
  <c r="L18" i="84"/>
  <c r="D17" i="84"/>
  <c r="C17" i="84"/>
  <c r="C18" i="84" s="1"/>
  <c r="D18" i="84" s="1"/>
  <c r="L4" i="84"/>
  <c r="K4" i="84"/>
  <c r="A2" i="84"/>
  <c r="H1" i="84"/>
  <c r="Y8" i="1"/>
  <c r="Y7" i="1"/>
  <c r="Q8" i="1"/>
  <c r="Q7" i="1"/>
  <c r="N8" i="1"/>
  <c r="N7" i="1"/>
  <c r="F21" i="6"/>
  <c r="F20" i="6"/>
  <c r="Q72" i="83"/>
  <c r="C62" i="83"/>
  <c r="F61" i="83"/>
  <c r="C61" i="83"/>
  <c r="C60" i="83"/>
  <c r="Q59" i="83"/>
  <c r="K59" i="83"/>
  <c r="P74" i="83" s="1"/>
  <c r="Q58" i="83"/>
  <c r="Q51" i="83"/>
  <c r="J51" i="83"/>
  <c r="J50" i="83"/>
  <c r="J49" i="83"/>
  <c r="M47" i="83"/>
  <c r="D46" i="83"/>
  <c r="F34" i="83"/>
  <c r="F62" i="83" s="1"/>
  <c r="C34" i="83"/>
  <c r="F33" i="83"/>
  <c r="C33" i="83"/>
  <c r="F32" i="83"/>
  <c r="F60" i="83" s="1"/>
  <c r="C32" i="83"/>
  <c r="F28" i="83"/>
  <c r="C28" i="83"/>
  <c r="F23" i="83"/>
  <c r="D24" i="83" s="1"/>
  <c r="D23" i="83"/>
  <c r="D22" i="83"/>
  <c r="F21" i="83"/>
  <c r="M20" i="83"/>
  <c r="F20" i="83"/>
  <c r="M19" i="83"/>
  <c r="M18" i="83"/>
  <c r="F18" i="83"/>
  <c r="F17" i="83"/>
  <c r="F15" i="83"/>
  <c r="G1" i="83"/>
  <c r="B130" i="82"/>
  <c r="F46" i="82" s="1"/>
  <c r="AA46" i="82" s="1"/>
  <c r="B128" i="82"/>
  <c r="B126" i="82"/>
  <c r="G125" i="82"/>
  <c r="F125" i="82"/>
  <c r="E125" i="82"/>
  <c r="D125" i="82"/>
  <c r="E123" i="82"/>
  <c r="D123" i="82"/>
  <c r="J42" i="82" s="1"/>
  <c r="G121" i="82"/>
  <c r="H121" i="82" s="1"/>
  <c r="I121" i="82" s="1"/>
  <c r="J121" i="82" s="1"/>
  <c r="K121" i="82" s="1"/>
  <c r="L121" i="82" s="1"/>
  <c r="M121" i="82" s="1"/>
  <c r="F121" i="82"/>
  <c r="E121" i="82"/>
  <c r="D121" i="82"/>
  <c r="G117" i="82"/>
  <c r="F117" i="82"/>
  <c r="E117" i="82"/>
  <c r="D117" i="82"/>
  <c r="D115" i="82"/>
  <c r="E115" i="82" s="1"/>
  <c r="F115" i="82" s="1"/>
  <c r="G115" i="82" s="1"/>
  <c r="H115" i="82" s="1"/>
  <c r="I115" i="82" s="1"/>
  <c r="J115" i="82" s="1"/>
  <c r="K115" i="82" s="1"/>
  <c r="L115" i="82" s="1"/>
  <c r="M115" i="82" s="1"/>
  <c r="G113" i="82"/>
  <c r="H113" i="82" s="1"/>
  <c r="I113" i="82" s="1"/>
  <c r="J113" i="82" s="1"/>
  <c r="K113" i="82" s="1"/>
  <c r="L113" i="82" s="1"/>
  <c r="M113" i="82" s="1"/>
  <c r="F113" i="82"/>
  <c r="E113" i="82"/>
  <c r="D113" i="82"/>
  <c r="D111" i="82"/>
  <c r="E111" i="82" s="1"/>
  <c r="G109" i="82"/>
  <c r="F109" i="82"/>
  <c r="E109" i="82"/>
  <c r="D109" i="82"/>
  <c r="C109" i="82"/>
  <c r="D108" i="82"/>
  <c r="E108" i="82" s="1"/>
  <c r="F108" i="82" s="1"/>
  <c r="G108" i="82" s="1"/>
  <c r="H108" i="82" s="1"/>
  <c r="I108" i="82" s="1"/>
  <c r="J108" i="82" s="1"/>
  <c r="K108" i="82" s="1"/>
  <c r="L108" i="82" s="1"/>
  <c r="M108" i="82" s="1"/>
  <c r="E106" i="82"/>
  <c r="D106" i="82"/>
  <c r="M102" i="82"/>
  <c r="L102" i="82"/>
  <c r="K102" i="82"/>
  <c r="J102" i="82"/>
  <c r="I102" i="82"/>
  <c r="H102" i="82"/>
  <c r="G102" i="82"/>
  <c r="F102" i="82"/>
  <c r="E102" i="82"/>
  <c r="D102" i="82"/>
  <c r="C102" i="82"/>
  <c r="F101" i="82"/>
  <c r="G101" i="82" s="1"/>
  <c r="H101" i="82" s="1"/>
  <c r="I101" i="82" s="1"/>
  <c r="J101" i="82" s="1"/>
  <c r="K101" i="82" s="1"/>
  <c r="L101" i="82" s="1"/>
  <c r="M101" i="82" s="1"/>
  <c r="E101" i="82"/>
  <c r="D101" i="82"/>
  <c r="O100" i="82"/>
  <c r="P99" i="82"/>
  <c r="O99" i="82"/>
  <c r="O98" i="82"/>
  <c r="B98" i="82"/>
  <c r="O97" i="82"/>
  <c r="P97" i="82" s="1"/>
  <c r="B96" i="82"/>
  <c r="B94" i="82"/>
  <c r="T93" i="82"/>
  <c r="T92" i="82"/>
  <c r="B92" i="82"/>
  <c r="D91" i="82"/>
  <c r="E91" i="82" s="1"/>
  <c r="B90" i="82"/>
  <c r="F89" i="82"/>
  <c r="G89" i="82" s="1"/>
  <c r="E89" i="82"/>
  <c r="D89" i="82"/>
  <c r="B88" i="82"/>
  <c r="E87" i="82"/>
  <c r="J25" i="82" s="1"/>
  <c r="D87" i="82"/>
  <c r="D85" i="82"/>
  <c r="E85" i="82" s="1"/>
  <c r="E83" i="82"/>
  <c r="F83" i="82" s="1"/>
  <c r="G83" i="82" s="1"/>
  <c r="D83" i="82"/>
  <c r="D81" i="82"/>
  <c r="E81" i="82" s="1"/>
  <c r="E79" i="82"/>
  <c r="D79" i="82"/>
  <c r="D77" i="82"/>
  <c r="E77" i="82" s="1"/>
  <c r="B74" i="82"/>
  <c r="B72" i="82"/>
  <c r="B70" i="82"/>
  <c r="M69" i="82"/>
  <c r="J69" i="82"/>
  <c r="K69" i="82" s="1"/>
  <c r="L69" i="82" s="1"/>
  <c r="E69" i="82"/>
  <c r="F69" i="82" s="1"/>
  <c r="G69" i="82" s="1"/>
  <c r="H69" i="82" s="1"/>
  <c r="I69" i="82" s="1"/>
  <c r="D69" i="82"/>
  <c r="M67" i="82"/>
  <c r="L67" i="82"/>
  <c r="K67" i="82"/>
  <c r="J67" i="82"/>
  <c r="I67" i="82"/>
  <c r="H67" i="82"/>
  <c r="G67" i="82"/>
  <c r="F67" i="82"/>
  <c r="E67" i="82"/>
  <c r="D67" i="82"/>
  <c r="C67" i="82"/>
  <c r="C63" i="82"/>
  <c r="I54" i="82"/>
  <c r="J54" i="82" s="1"/>
  <c r="H54" i="82"/>
  <c r="G54" i="82"/>
  <c r="E54" i="82"/>
  <c r="F54" i="82" s="1"/>
  <c r="P49" i="82"/>
  <c r="P48" i="82"/>
  <c r="K48" i="82"/>
  <c r="V47" i="82"/>
  <c r="T47" i="82"/>
  <c r="R47" i="82"/>
  <c r="P47" i="82"/>
  <c r="Z46" i="82"/>
  <c r="S46" i="82"/>
  <c r="Q46" i="82"/>
  <c r="Z45" i="82"/>
  <c r="Q45" i="82"/>
  <c r="J45" i="82"/>
  <c r="W45" i="82" s="1"/>
  <c r="H45" i="82"/>
  <c r="AB45" i="82" s="1"/>
  <c r="F45" i="82"/>
  <c r="AA45" i="82" s="1"/>
  <c r="W44" i="82"/>
  <c r="Q44" i="82"/>
  <c r="Z44" i="82" s="1"/>
  <c r="J44" i="82"/>
  <c r="AC44" i="82" s="1"/>
  <c r="H44" i="82"/>
  <c r="U44" i="82" s="1"/>
  <c r="F44" i="82"/>
  <c r="AA44" i="82" s="1"/>
  <c r="AA43" i="82"/>
  <c r="U43" i="82"/>
  <c r="Q43" i="82"/>
  <c r="Z43" i="82" s="1"/>
  <c r="J43" i="82"/>
  <c r="AC43" i="82" s="1"/>
  <c r="H43" i="82"/>
  <c r="AB43" i="82" s="1"/>
  <c r="F43" i="82"/>
  <c r="S43" i="82" s="1"/>
  <c r="Z42" i="82"/>
  <c r="Q42" i="82"/>
  <c r="AC41" i="82"/>
  <c r="AA41" i="82"/>
  <c r="Q41" i="82"/>
  <c r="Z41" i="82" s="1"/>
  <c r="J41" i="82"/>
  <c r="W41" i="82" s="1"/>
  <c r="H41" i="82"/>
  <c r="AB41" i="82" s="1"/>
  <c r="F41" i="82"/>
  <c r="S41" i="82" s="1"/>
  <c r="Z40" i="82"/>
  <c r="Q40" i="82"/>
  <c r="J40" i="82"/>
  <c r="AC40" i="82" s="1"/>
  <c r="H40" i="82"/>
  <c r="AB40" i="82" s="1"/>
  <c r="F40" i="82"/>
  <c r="S40" i="82" s="1"/>
  <c r="W39" i="82"/>
  <c r="Q39" i="82"/>
  <c r="Z39" i="82" s="1"/>
  <c r="J39" i="82"/>
  <c r="AC39" i="82" s="1"/>
  <c r="H39" i="82"/>
  <c r="AB39" i="82" s="1"/>
  <c r="F39" i="82"/>
  <c r="AA39" i="82" s="1"/>
  <c r="AC38" i="82"/>
  <c r="W38" i="82"/>
  <c r="U38" i="82"/>
  <c r="Q38" i="82"/>
  <c r="Z38" i="82" s="1"/>
  <c r="J38" i="82"/>
  <c r="H38" i="82"/>
  <c r="AB38" i="82" s="1"/>
  <c r="F38" i="82"/>
  <c r="AA38" i="82" s="1"/>
  <c r="AB37" i="82"/>
  <c r="Q37" i="82"/>
  <c r="Z37" i="82" s="1"/>
  <c r="J37" i="82"/>
  <c r="AC37" i="82" s="1"/>
  <c r="H37" i="82"/>
  <c r="U37" i="82" s="1"/>
  <c r="F37" i="82"/>
  <c r="AA37" i="82" s="1"/>
  <c r="Q36" i="82"/>
  <c r="Z36" i="82" s="1"/>
  <c r="W35" i="82"/>
  <c r="Q35" i="82"/>
  <c r="Z35" i="82" s="1"/>
  <c r="J35" i="82"/>
  <c r="AC35" i="82" s="1"/>
  <c r="H35" i="82"/>
  <c r="AB35" i="82" s="1"/>
  <c r="F35" i="82"/>
  <c r="AA35" i="82" s="1"/>
  <c r="AC34" i="82"/>
  <c r="W34" i="82"/>
  <c r="U34" i="82"/>
  <c r="Q34" i="82"/>
  <c r="Z34" i="82" s="1"/>
  <c r="J34" i="82"/>
  <c r="H34" i="82"/>
  <c r="AB34" i="82" s="1"/>
  <c r="AB33" i="82"/>
  <c r="AA33" i="82"/>
  <c r="Q33" i="82"/>
  <c r="Z33" i="82" s="1"/>
  <c r="J33" i="82"/>
  <c r="AC33" i="82" s="1"/>
  <c r="H33" i="82"/>
  <c r="U33" i="82" s="1"/>
  <c r="F33" i="82"/>
  <c r="S33" i="82" s="1"/>
  <c r="C33" i="82"/>
  <c r="AB32" i="82"/>
  <c r="Q32" i="82"/>
  <c r="Z32" i="82" s="1"/>
  <c r="J32" i="82"/>
  <c r="AC32" i="82" s="1"/>
  <c r="H32" i="82"/>
  <c r="U32" i="82" s="1"/>
  <c r="F32" i="82"/>
  <c r="AA32" i="82" s="1"/>
  <c r="Q31" i="82"/>
  <c r="Z31" i="82" s="1"/>
  <c r="W30" i="82"/>
  <c r="Q30" i="82"/>
  <c r="Z30" i="82" s="1"/>
  <c r="J30" i="82"/>
  <c r="AC30" i="82" s="1"/>
  <c r="Q29" i="82"/>
  <c r="Z29" i="82" s="1"/>
  <c r="Q28" i="82"/>
  <c r="Z28" i="82" s="1"/>
  <c r="J28" i="82"/>
  <c r="AC28" i="82" s="1"/>
  <c r="H28" i="82"/>
  <c r="AB28" i="82" s="1"/>
  <c r="F28" i="82"/>
  <c r="S28" i="82" s="1"/>
  <c r="Q27" i="82"/>
  <c r="Z27" i="82" s="1"/>
  <c r="Z26" i="82"/>
  <c r="Q26" i="82"/>
  <c r="J26" i="82"/>
  <c r="AC26" i="82" s="1"/>
  <c r="H26" i="82"/>
  <c r="AB26" i="82" s="1"/>
  <c r="F26" i="82"/>
  <c r="AA26" i="82" s="1"/>
  <c r="U25" i="82"/>
  <c r="Q25" i="82"/>
  <c r="Z25" i="82" s="1"/>
  <c r="H25" i="82"/>
  <c r="AB25" i="82" s="1"/>
  <c r="AB23" i="82"/>
  <c r="U23" i="82"/>
  <c r="S23" i="82"/>
  <c r="Q23" i="82"/>
  <c r="Z23" i="82" s="1"/>
  <c r="H23" i="82"/>
  <c r="F23" i="82"/>
  <c r="AA23" i="82" s="1"/>
  <c r="C23" i="82"/>
  <c r="AB21" i="82"/>
  <c r="Q21" i="82"/>
  <c r="Z21" i="82" s="1"/>
  <c r="J21" i="82"/>
  <c r="AC21" i="82" s="1"/>
  <c r="H21" i="82"/>
  <c r="U21" i="82" s="1"/>
  <c r="F21" i="82"/>
  <c r="AA21" i="82" s="1"/>
  <c r="C21" i="82"/>
  <c r="U19" i="82"/>
  <c r="S19" i="82"/>
  <c r="Q19" i="82"/>
  <c r="Z19" i="82" s="1"/>
  <c r="H19" i="82"/>
  <c r="AB19" i="82" s="1"/>
  <c r="F19" i="82"/>
  <c r="AA19" i="82" s="1"/>
  <c r="C19" i="82"/>
  <c r="U17" i="82"/>
  <c r="S17" i="82"/>
  <c r="Q17" i="82"/>
  <c r="Z17" i="82" s="1"/>
  <c r="H17" i="82"/>
  <c r="AB17" i="82" s="1"/>
  <c r="F17" i="82"/>
  <c r="AA17" i="82" s="1"/>
  <c r="C17" i="82"/>
  <c r="Q15" i="82"/>
  <c r="Z15" i="82" s="1"/>
  <c r="C15" i="82"/>
  <c r="AB14" i="82"/>
  <c r="AA14" i="82"/>
  <c r="Q14" i="82"/>
  <c r="Z14" i="82" s="1"/>
  <c r="J14" i="82"/>
  <c r="W14" i="82" s="1"/>
  <c r="H14" i="82"/>
  <c r="U14" i="82" s="1"/>
  <c r="F14" i="82"/>
  <c r="S14" i="82" s="1"/>
  <c r="AB13" i="82"/>
  <c r="AA13" i="82"/>
  <c r="Q13" i="82"/>
  <c r="Z13" i="82" s="1"/>
  <c r="J13" i="82"/>
  <c r="AC13" i="82" s="1"/>
  <c r="H13" i="82"/>
  <c r="U13" i="82" s="1"/>
  <c r="F13" i="82"/>
  <c r="S13" i="82" s="1"/>
  <c r="AC12" i="82"/>
  <c r="Z12" i="82"/>
  <c r="W12" i="82"/>
  <c r="Q12" i="82"/>
  <c r="J12" i="82"/>
  <c r="H12" i="82"/>
  <c r="AB12" i="82" s="1"/>
  <c r="F12" i="82"/>
  <c r="S12" i="82" s="1"/>
  <c r="Z11" i="82"/>
  <c r="W11" i="82"/>
  <c r="Q11" i="82"/>
  <c r="J11" i="82"/>
  <c r="AC11" i="82" s="1"/>
  <c r="H11" i="82"/>
  <c r="U11" i="82" s="1"/>
  <c r="F11" i="82"/>
  <c r="AA11" i="82" s="1"/>
  <c r="AC10" i="82"/>
  <c r="AB10" i="82"/>
  <c r="Q10" i="82"/>
  <c r="Z10" i="82" s="1"/>
  <c r="J10" i="82"/>
  <c r="W10" i="82" s="1"/>
  <c r="H10" i="82"/>
  <c r="U10" i="82" s="1"/>
  <c r="F10" i="82"/>
  <c r="AA10" i="82" s="1"/>
  <c r="AB9" i="82"/>
  <c r="Z9" i="82"/>
  <c r="Q9" i="82"/>
  <c r="J9" i="82"/>
  <c r="AC9" i="82" s="1"/>
  <c r="H9" i="82"/>
  <c r="U9" i="82" s="1"/>
  <c r="F9" i="82"/>
  <c r="S9" i="82" s="1"/>
  <c r="W8" i="82"/>
  <c r="U8" i="82"/>
  <c r="J8" i="82"/>
  <c r="AC8" i="82" s="1"/>
  <c r="H8" i="82"/>
  <c r="AB8" i="82" s="1"/>
  <c r="F8" i="82"/>
  <c r="S8" i="82" s="1"/>
  <c r="C7" i="82"/>
  <c r="C58" i="82" s="1"/>
  <c r="D3" i="82"/>
  <c r="A124" i="81"/>
  <c r="A120" i="81"/>
  <c r="A118" i="81"/>
  <c r="E111" i="81"/>
  <c r="H109" i="81"/>
  <c r="D124" i="81" s="1"/>
  <c r="D125" i="81" s="1"/>
  <c r="E109" i="81"/>
  <c r="E107" i="81"/>
  <c r="A122" i="81" s="1"/>
  <c r="H106" i="81"/>
  <c r="H105" i="81"/>
  <c r="H103" i="81" s="1"/>
  <c r="D120" i="81" s="1"/>
  <c r="H104" i="81"/>
  <c r="D101" i="81"/>
  <c r="C101" i="81"/>
  <c r="D93" i="81"/>
  <c r="C91" i="81"/>
  <c r="E90" i="81"/>
  <c r="D89" i="81"/>
  <c r="C89" i="81"/>
  <c r="C87" i="81" s="1"/>
  <c r="D78" i="81"/>
  <c r="H77" i="81"/>
  <c r="D77" i="81"/>
  <c r="C77" i="81"/>
  <c r="C76" i="81"/>
  <c r="C74" i="81"/>
  <c r="D68" i="81"/>
  <c r="F59" i="81"/>
  <c r="E59" i="81"/>
  <c r="N56" i="81"/>
  <c r="M56" i="81"/>
  <c r="K56" i="81"/>
  <c r="J56" i="81"/>
  <c r="J57" i="81" s="1"/>
  <c r="J59" i="81" s="1"/>
  <c r="J61" i="81" s="1"/>
  <c r="F56" i="81"/>
  <c r="O55" i="81"/>
  <c r="N55" i="81"/>
  <c r="K55" i="81"/>
  <c r="J55" i="81"/>
  <c r="I55" i="81"/>
  <c r="F55" i="81" s="1"/>
  <c r="O53" i="81" s="1"/>
  <c r="O54" i="81"/>
  <c r="N54" i="81"/>
  <c r="F54" i="81"/>
  <c r="N53" i="81"/>
  <c r="F53" i="81"/>
  <c r="N52" i="81"/>
  <c r="F52" i="81"/>
  <c r="K49" i="81"/>
  <c r="F48" i="81"/>
  <c r="O52" i="81" s="1"/>
  <c r="E48" i="81"/>
  <c r="M47" i="81"/>
  <c r="F33" i="81"/>
  <c r="D27" i="81"/>
  <c r="C25" i="81"/>
  <c r="C24" i="81"/>
  <c r="M19" i="81"/>
  <c r="C118" i="81" s="1"/>
  <c r="L19" i="81"/>
  <c r="M18" i="81"/>
  <c r="B118" i="81" s="1"/>
  <c r="L18" i="81"/>
  <c r="C18" i="81"/>
  <c r="D18" i="81" s="1"/>
  <c r="D17" i="81"/>
  <c r="C17" i="81"/>
  <c r="L4" i="81"/>
  <c r="K4" i="81"/>
  <c r="A2" i="81"/>
  <c r="H1" i="81"/>
  <c r="E89" i="33"/>
  <c r="F89" i="33" s="1"/>
  <c r="G89" i="33" s="1"/>
  <c r="D89" i="33"/>
  <c r="L48" i="86"/>
  <c r="F9" i="86"/>
  <c r="C76" i="86"/>
  <c r="M22" i="86"/>
  <c r="F7" i="86"/>
  <c r="L47" i="86"/>
  <c r="C19" i="84"/>
  <c r="C20" i="84"/>
  <c r="M28" i="86"/>
  <c r="D2" i="85"/>
  <c r="C76" i="83"/>
  <c r="F38" i="83"/>
  <c r="F36" i="83"/>
  <c r="M26" i="83"/>
  <c r="F16" i="83"/>
  <c r="F13" i="83"/>
  <c r="M8" i="83"/>
  <c r="M6" i="83"/>
  <c r="F40" i="83"/>
  <c r="M24" i="83"/>
  <c r="F8" i="83"/>
  <c r="M22" i="83"/>
  <c r="J15" i="83"/>
  <c r="M27" i="83"/>
  <c r="D2" i="82"/>
  <c r="F42" i="83"/>
  <c r="F37" i="83"/>
  <c r="M28" i="83"/>
  <c r="M9" i="83"/>
  <c r="F6" i="83"/>
  <c r="F26" i="83"/>
  <c r="M23" i="83"/>
  <c r="F9" i="83"/>
  <c r="C103" i="84" l="1"/>
  <c r="C21" i="84"/>
  <c r="C102" i="84"/>
  <c r="N59" i="86"/>
  <c r="L58" i="86"/>
  <c r="M59" i="86"/>
  <c r="L59" i="86"/>
  <c r="F50" i="86"/>
  <c r="M7" i="86"/>
  <c r="Q71" i="86"/>
  <c r="L57" i="86"/>
  <c r="L56" i="86"/>
  <c r="I54" i="86"/>
  <c r="L60" i="86"/>
  <c r="F58" i="85"/>
  <c r="G58" i="85" s="1"/>
  <c r="H58" i="85" s="1"/>
  <c r="I58" i="85" s="1"/>
  <c r="J58" i="85" s="1"/>
  <c r="K58" i="85" s="1"/>
  <c r="L58" i="85" s="1"/>
  <c r="M58" i="85" s="1"/>
  <c r="N58" i="85" s="1"/>
  <c r="O58" i="85" s="1"/>
  <c r="C92" i="84"/>
  <c r="C94" i="84"/>
  <c r="D121" i="84"/>
  <c r="K120" i="84"/>
  <c r="S11" i="85"/>
  <c r="AC40" i="85"/>
  <c r="AC29" i="85"/>
  <c r="W29" i="85"/>
  <c r="S10" i="85"/>
  <c r="S21" i="85"/>
  <c r="AB30" i="85"/>
  <c r="AB34" i="85"/>
  <c r="AC35" i="85"/>
  <c r="S41" i="85"/>
  <c r="U42" i="85"/>
  <c r="H27" i="85"/>
  <c r="F27" i="85"/>
  <c r="W9" i="85"/>
  <c r="S42" i="85"/>
  <c r="J28" i="85"/>
  <c r="H28" i="85"/>
  <c r="H109" i="84"/>
  <c r="AA23" i="85"/>
  <c r="AC26" i="85"/>
  <c r="H29" i="85"/>
  <c r="AA29" i="85"/>
  <c r="J33" i="85"/>
  <c r="H33" i="85"/>
  <c r="AC39" i="85"/>
  <c r="S9" i="85"/>
  <c r="U10" i="85"/>
  <c r="AC11" i="85"/>
  <c r="W11" i="85"/>
  <c r="AC12" i="85"/>
  <c r="AB13" i="85"/>
  <c r="F15" i="85"/>
  <c r="J27" i="85"/>
  <c r="S32" i="85"/>
  <c r="F33" i="85"/>
  <c r="W45" i="85"/>
  <c r="F91" i="85"/>
  <c r="G91" i="85" s="1"/>
  <c r="H91" i="85" s="1"/>
  <c r="I91" i="85" s="1"/>
  <c r="J91" i="85" s="1"/>
  <c r="K91" i="85" s="1"/>
  <c r="L91" i="85" s="1"/>
  <c r="M91" i="85" s="1"/>
  <c r="F106" i="85"/>
  <c r="G106" i="85" s="1"/>
  <c r="H106" i="85" s="1"/>
  <c r="I106" i="85" s="1"/>
  <c r="J106" i="85" s="1"/>
  <c r="K106" i="85" s="1"/>
  <c r="L106" i="85" s="1"/>
  <c r="M106" i="85" s="1"/>
  <c r="J34" i="85"/>
  <c r="F111" i="85"/>
  <c r="G111" i="85" s="1"/>
  <c r="H111" i="85" s="1"/>
  <c r="I111" i="85" s="1"/>
  <c r="J111" i="85" s="1"/>
  <c r="K111" i="85" s="1"/>
  <c r="L111" i="85" s="1"/>
  <c r="M111" i="85" s="1"/>
  <c r="H36" i="85"/>
  <c r="F36" i="85"/>
  <c r="S14" i="85"/>
  <c r="U9" i="85"/>
  <c r="W10" i="85"/>
  <c r="J15" i="85"/>
  <c r="F28" i="85"/>
  <c r="AB45" i="85"/>
  <c r="U45" i="85"/>
  <c r="H15" i="85"/>
  <c r="J19" i="85"/>
  <c r="H19" i="85"/>
  <c r="J23" i="85"/>
  <c r="H23" i="85"/>
  <c r="H31" i="85"/>
  <c r="F31" i="85"/>
  <c r="E101" i="85"/>
  <c r="F101" i="85" s="1"/>
  <c r="G101" i="85" s="1"/>
  <c r="H101" i="85" s="1"/>
  <c r="I101" i="85" s="1"/>
  <c r="J101" i="85" s="1"/>
  <c r="K101" i="85" s="1"/>
  <c r="L101" i="85" s="1"/>
  <c r="M101" i="85" s="1"/>
  <c r="J32" i="85"/>
  <c r="H32" i="85"/>
  <c r="S13" i="85"/>
  <c r="U14" i="85"/>
  <c r="U17" i="85"/>
  <c r="U21" i="85"/>
  <c r="W25" i="85"/>
  <c r="U37" i="85"/>
  <c r="W38" i="85"/>
  <c r="S40" i="85"/>
  <c r="U41" i="85"/>
  <c r="W42" i="85"/>
  <c r="AB44" i="85"/>
  <c r="J46" i="85"/>
  <c r="F46" i="85"/>
  <c r="W17" i="85"/>
  <c r="W21" i="85"/>
  <c r="S26" i="85"/>
  <c r="S30" i="85"/>
  <c r="S35" i="85"/>
  <c r="W37" i="85"/>
  <c r="S39" i="85"/>
  <c r="U40" i="85"/>
  <c r="W41" i="85"/>
  <c r="S43" i="85"/>
  <c r="T97" i="85"/>
  <c r="W44" i="85"/>
  <c r="J53" i="86"/>
  <c r="J57" i="86"/>
  <c r="J55" i="86" s="1"/>
  <c r="J58" i="86" s="1"/>
  <c r="Q50" i="86" s="1"/>
  <c r="W26" i="82"/>
  <c r="F65" i="83"/>
  <c r="F51" i="83"/>
  <c r="F68" i="83"/>
  <c r="F64" i="83"/>
  <c r="F66" i="83"/>
  <c r="Q71" i="83"/>
  <c r="K120" i="81"/>
  <c r="D121" i="81"/>
  <c r="C92" i="81"/>
  <c r="C94" i="81"/>
  <c r="AC25" i="82"/>
  <c r="W25" i="82"/>
  <c r="F111" i="82"/>
  <c r="G111" i="82" s="1"/>
  <c r="H111" i="82" s="1"/>
  <c r="I111" i="82" s="1"/>
  <c r="J111" i="82" s="1"/>
  <c r="K111" i="82" s="1"/>
  <c r="L111" i="82" s="1"/>
  <c r="M111" i="82" s="1"/>
  <c r="J36" i="82"/>
  <c r="H36" i="82"/>
  <c r="F36" i="82"/>
  <c r="S10" i="82"/>
  <c r="S21" i="82"/>
  <c r="A126" i="81"/>
  <c r="H111" i="81"/>
  <c r="D126" i="81" s="1"/>
  <c r="D127" i="81" s="1"/>
  <c r="AA28" i="82"/>
  <c r="AA40" i="82"/>
  <c r="C27" i="83"/>
  <c r="H110" i="81"/>
  <c r="U28" i="82"/>
  <c r="S32" i="82"/>
  <c r="S37" i="82"/>
  <c r="AB44" i="82"/>
  <c r="F77" i="82"/>
  <c r="J15" i="82"/>
  <c r="F87" i="82"/>
  <c r="G87" i="82" s="1"/>
  <c r="H87" i="82" s="1"/>
  <c r="I87" i="82" s="1"/>
  <c r="J87" i="82" s="1"/>
  <c r="K87" i="82" s="1"/>
  <c r="L87" i="82" s="1"/>
  <c r="M87" i="82" s="1"/>
  <c r="F25" i="82"/>
  <c r="F91" i="82"/>
  <c r="G91" i="82" s="1"/>
  <c r="H91" i="82" s="1"/>
  <c r="I91" i="82" s="1"/>
  <c r="J91" i="82" s="1"/>
  <c r="K91" i="82" s="1"/>
  <c r="L91" i="82" s="1"/>
  <c r="M91" i="82" s="1"/>
  <c r="J27" i="82"/>
  <c r="H27" i="82"/>
  <c r="D58" i="82"/>
  <c r="AA8" i="82"/>
  <c r="AB11" i="82"/>
  <c r="H15" i="82"/>
  <c r="H112" i="81"/>
  <c r="AA9" i="82"/>
  <c r="AA12" i="82"/>
  <c r="AC14" i="82"/>
  <c r="F27" i="82"/>
  <c r="AC45"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W28" i="82"/>
  <c r="W32" i="82"/>
  <c r="W33" i="82"/>
  <c r="S35" i="82"/>
  <c r="W37" i="82"/>
  <c r="S39" i="82"/>
  <c r="U40" i="82"/>
  <c r="F42" i="82"/>
  <c r="P61" i="83"/>
  <c r="W9" i="82"/>
  <c r="S11" i="82"/>
  <c r="U12" i="82"/>
  <c r="W13" i="82"/>
  <c r="U26" i="82"/>
  <c r="U35" i="82"/>
  <c r="S38" i="82"/>
  <c r="U39" i="82"/>
  <c r="W40" i="82"/>
  <c r="P98" i="82"/>
  <c r="AC42" i="82"/>
  <c r="W42" i="82"/>
  <c r="J46" i="82"/>
  <c r="H46" i="82"/>
  <c r="W43" i="82"/>
  <c r="S45" i="82"/>
  <c r="T94" i="82"/>
  <c r="S44" i="82"/>
  <c r="U45" i="82"/>
  <c r="T95" i="82"/>
  <c r="J15" i="86"/>
  <c r="M27" i="86"/>
  <c r="F8" i="86"/>
  <c r="M8" i="86"/>
  <c r="M29" i="86"/>
  <c r="F6" i="86"/>
  <c r="F13" i="86"/>
  <c r="F36" i="86"/>
  <c r="M9" i="86"/>
  <c r="M23" i="86"/>
  <c r="M24" i="86"/>
  <c r="F37" i="86"/>
  <c r="F16" i="86"/>
  <c r="F38" i="86"/>
  <c r="F26" i="86"/>
  <c r="F42" i="86"/>
  <c r="F40" i="86"/>
  <c r="M6" i="86"/>
  <c r="M26" i="86"/>
  <c r="F43" i="86"/>
  <c r="F71" i="86" l="1"/>
  <c r="J6" i="86"/>
  <c r="M17" i="86"/>
  <c r="F68" i="86"/>
  <c r="C27" i="86"/>
  <c r="F66" i="86"/>
  <c r="F65" i="86"/>
  <c r="F64" i="86"/>
  <c r="F31" i="86"/>
  <c r="C6" i="86"/>
  <c r="F51" i="86"/>
  <c r="C49" i="86" s="1"/>
  <c r="AB19" i="85"/>
  <c r="U19" i="85"/>
  <c r="AB28" i="85"/>
  <c r="U28" i="85"/>
  <c r="AB32" i="85"/>
  <c r="U32" i="85"/>
  <c r="AC19" i="85"/>
  <c r="W19" i="85"/>
  <c r="AA28" i="85"/>
  <c r="S28" i="85"/>
  <c r="AB36" i="85"/>
  <c r="U36" i="85"/>
  <c r="W27" i="85"/>
  <c r="AC27" i="85"/>
  <c r="J7" i="85"/>
  <c r="AC33" i="85"/>
  <c r="W33" i="85"/>
  <c r="AC28" i="85"/>
  <c r="W28" i="85"/>
  <c r="AB27" i="85"/>
  <c r="U27" i="85"/>
  <c r="AC46" i="85"/>
  <c r="W46" i="85"/>
  <c r="AB33" i="85"/>
  <c r="U33" i="85"/>
  <c r="AC32" i="85"/>
  <c r="W32" i="85"/>
  <c r="AB23" i="85"/>
  <c r="U23" i="85"/>
  <c r="AB15" i="85"/>
  <c r="U15" i="85"/>
  <c r="W15" i="85"/>
  <c r="AC15" i="85"/>
  <c r="S15" i="85"/>
  <c r="AA15" i="85"/>
  <c r="H7" i="85"/>
  <c r="Q66" i="86"/>
  <c r="Q57" i="86"/>
  <c r="Q61" i="86"/>
  <c r="Q74" i="86"/>
  <c r="AA31" i="85"/>
  <c r="S31" i="85"/>
  <c r="AA36" i="85"/>
  <c r="S36" i="85"/>
  <c r="AA27" i="85"/>
  <c r="S27" i="85"/>
  <c r="Q73" i="86"/>
  <c r="Q60" i="86"/>
  <c r="AB31" i="85"/>
  <c r="U31" i="85"/>
  <c r="F1" i="86"/>
  <c r="Q52" i="86"/>
  <c r="AA46" i="85"/>
  <c r="S46" i="85"/>
  <c r="AC23" i="85"/>
  <c r="W23" i="85"/>
  <c r="AC34" i="85"/>
  <c r="W34" i="85"/>
  <c r="AA33" i="85"/>
  <c r="S33" i="85"/>
  <c r="AB29" i="85"/>
  <c r="U29" i="85"/>
  <c r="D124" i="84"/>
  <c r="D125" i="84" s="1"/>
  <c r="H110" i="84"/>
  <c r="F7" i="85"/>
  <c r="AA34" i="82"/>
  <c r="S34" i="82"/>
  <c r="AB36" i="82"/>
  <c r="U36" i="82"/>
  <c r="AA30" i="82"/>
  <c r="S30" i="82"/>
  <c r="AC17" i="82"/>
  <c r="W17" i="82"/>
  <c r="AC27" i="82"/>
  <c r="W27" i="82"/>
  <c r="AB30" i="82"/>
  <c r="U30" i="82"/>
  <c r="E58" i="82"/>
  <c r="F29" i="82"/>
  <c r="H29" i="82"/>
  <c r="J29" i="82"/>
  <c r="AC19" i="82"/>
  <c r="W19" i="82"/>
  <c r="AB42" i="82"/>
  <c r="U42" i="82"/>
  <c r="AC23" i="82"/>
  <c r="W23" i="82"/>
  <c r="T97" i="82"/>
  <c r="AA25" i="82"/>
  <c r="S25" i="82"/>
  <c r="AC36" i="82"/>
  <c r="W36" i="82"/>
  <c r="AC15" i="82"/>
  <c r="W15" i="82"/>
  <c r="AB46" i="82"/>
  <c r="U46" i="82"/>
  <c r="AA42" i="82"/>
  <c r="S42" i="82"/>
  <c r="AB15" i="82"/>
  <c r="U15" i="82"/>
  <c r="G77" i="82"/>
  <c r="F15" i="82"/>
  <c r="AC46" i="82"/>
  <c r="W46" i="82"/>
  <c r="J31" i="82"/>
  <c r="H31" i="82"/>
  <c r="F31" i="82"/>
  <c r="AA27" i="82"/>
  <c r="S27" i="82"/>
  <c r="AB27" i="82"/>
  <c r="U27" i="82"/>
  <c r="AA36" i="82"/>
  <c r="S36" i="82"/>
  <c r="C17" i="86"/>
  <c r="C16" i="86"/>
  <c r="C14" i="86"/>
  <c r="C15" i="86" l="1"/>
  <c r="C18" i="86"/>
  <c r="AB7" i="85"/>
  <c r="T48" i="85" s="1"/>
  <c r="G48" i="85" s="1"/>
  <c r="U7" i="85"/>
  <c r="W7" i="85"/>
  <c r="AC7" i="85"/>
  <c r="V48" i="85" s="1"/>
  <c r="I48" i="85" s="1"/>
  <c r="S7" i="85"/>
  <c r="AA7" i="85"/>
  <c r="R48" i="85" s="1"/>
  <c r="F59" i="86"/>
  <c r="C59" i="86" s="1"/>
  <c r="C31" i="86"/>
  <c r="J18" i="86"/>
  <c r="J17" i="86"/>
  <c r="J19" i="86"/>
  <c r="AA29" i="82"/>
  <c r="S29" i="82"/>
  <c r="AA31" i="82"/>
  <c r="S31" i="82"/>
  <c r="AB31" i="82"/>
  <c r="U31" i="82"/>
  <c r="S15" i="82"/>
  <c r="AA15" i="82"/>
  <c r="W29" i="82"/>
  <c r="AC29" i="82"/>
  <c r="F58" i="82"/>
  <c r="AC31" i="82"/>
  <c r="W31" i="82"/>
  <c r="U29" i="82"/>
  <c r="AB29" i="82"/>
  <c r="C19" i="86" l="1"/>
  <c r="C20" i="86"/>
  <c r="C26" i="86" s="1"/>
  <c r="G53" i="85"/>
  <c r="H53" i="85" s="1"/>
  <c r="G52" i="85"/>
  <c r="H52" i="85" s="1"/>
  <c r="R49" i="85"/>
  <c r="E48" i="85"/>
  <c r="I52" i="85"/>
  <c r="J52" i="85" s="1"/>
  <c r="I53" i="85"/>
  <c r="J53" i="85" s="1"/>
  <c r="G58" i="82"/>
  <c r="C49" i="85" l="1"/>
  <c r="C48" i="85"/>
  <c r="E52" i="85"/>
  <c r="F52" i="85" s="1"/>
  <c r="E53" i="85"/>
  <c r="F53" i="85" s="1"/>
  <c r="H58" i="82"/>
  <c r="B2" i="85" l="1"/>
  <c r="B3" i="85"/>
  <c r="I58" i="82"/>
  <c r="J58" i="82" l="1"/>
  <c r="K58" i="82" l="1"/>
  <c r="L58" i="82" l="1"/>
  <c r="M58" i="82" l="1"/>
  <c r="N58" i="82" s="1"/>
  <c r="O58" i="82" s="1"/>
  <c r="J7" i="82"/>
  <c r="AC7" i="82" l="1"/>
  <c r="V48" i="82" s="1"/>
  <c r="I48" i="82" s="1"/>
  <c r="W7" i="82"/>
  <c r="H7" i="82"/>
  <c r="F7" i="82"/>
  <c r="U7" i="82" l="1"/>
  <c r="AB7" i="82"/>
  <c r="T48" i="82" s="1"/>
  <c r="G48" i="82" s="1"/>
  <c r="AA7" i="82"/>
  <c r="R48" i="82" s="1"/>
  <c r="S7" i="82"/>
  <c r="I52" i="82"/>
  <c r="J52" i="82" s="1"/>
  <c r="R49" i="82" l="1"/>
  <c r="E48" i="82"/>
  <c r="G52" i="82"/>
  <c r="H52" i="82" s="1"/>
  <c r="G53" i="82"/>
  <c r="H53" i="82" s="1"/>
  <c r="E53" i="82" l="1"/>
  <c r="F53" i="82" s="1"/>
  <c r="E52" i="82"/>
  <c r="F52" i="82" s="1"/>
  <c r="I53" i="82"/>
  <c r="J53" i="82" s="1"/>
  <c r="C48" i="82"/>
  <c r="C49" i="82"/>
  <c r="B3" i="82" l="1"/>
  <c r="B2" i="82"/>
  <c r="N6" i="1" l="1"/>
  <c r="D3" i="4" l="1"/>
  <c r="W20" i="1"/>
  <c r="W21" i="1" l="1"/>
  <c r="G19" i="6"/>
  <c r="F19" i="6"/>
  <c r="W24" i="1" l="1"/>
  <c r="W22" i="1"/>
  <c r="W23" i="1"/>
  <c r="O97" i="33"/>
  <c r="O98" i="33"/>
  <c r="O99" i="33"/>
  <c r="C33" i="33"/>
  <c r="W25" i="1" l="1"/>
  <c r="V25" i="1" s="1"/>
  <c r="X25" i="1" l="1"/>
  <c r="O100"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D84" i="71" s="1"/>
  <c r="B84" i="71"/>
  <c r="F83" i="71"/>
  <c r="F82" i="71" s="1"/>
  <c r="C83" i="71"/>
  <c r="D83" i="71" s="1"/>
  <c r="B83" i="71"/>
  <c r="B82" i="71" s="1"/>
  <c r="D81" i="71"/>
  <c r="S80" i="71"/>
  <c r="Q80" i="71"/>
  <c r="P80" i="71"/>
  <c r="O80" i="71"/>
  <c r="N80" i="71"/>
  <c r="F80" i="71"/>
  <c r="V80" i="71" s="1"/>
  <c r="E80" i="71"/>
  <c r="U80" i="71" s="1"/>
  <c r="C80" i="71"/>
  <c r="B80" i="71"/>
  <c r="Q79" i="71"/>
  <c r="P79" i="71"/>
  <c r="O79" i="71"/>
  <c r="N79" i="71"/>
  <c r="F79" i="71"/>
  <c r="E79" i="71"/>
  <c r="E78" i="71" s="1"/>
  <c r="B79" i="71"/>
  <c r="Q78" i="71"/>
  <c r="P78" i="71"/>
  <c r="O78" i="71"/>
  <c r="N78" i="71"/>
  <c r="F78" i="71"/>
  <c r="B78" i="71"/>
  <c r="Q77" i="71"/>
  <c r="P77" i="71"/>
  <c r="O77" i="71"/>
  <c r="N77" i="71"/>
  <c r="D77" i="71"/>
  <c r="Q76" i="71"/>
  <c r="P76" i="71"/>
  <c r="O76" i="71"/>
  <c r="N76" i="71"/>
  <c r="F76" i="71"/>
  <c r="F75" i="71" s="1"/>
  <c r="F74" i="71" s="1"/>
  <c r="E76" i="71"/>
  <c r="U76" i="71" s="1"/>
  <c r="C76" i="71"/>
  <c r="T76" i="71" s="1"/>
  <c r="B76" i="71"/>
  <c r="Q75" i="71"/>
  <c r="P75" i="71"/>
  <c r="O75" i="71"/>
  <c r="N75" i="71"/>
  <c r="E75" i="71"/>
  <c r="E74" i="71" s="1"/>
  <c r="C75" i="71"/>
  <c r="D75" i="71" s="1"/>
  <c r="Q74" i="71"/>
  <c r="P74" i="71"/>
  <c r="O74" i="71"/>
  <c r="N74" i="71"/>
  <c r="C74" i="71"/>
  <c r="D74" i="71" s="1"/>
  <c r="Q73" i="71"/>
  <c r="P73" i="71"/>
  <c r="O73" i="71"/>
  <c r="N73" i="71"/>
  <c r="D73" i="71"/>
  <c r="Q72" i="71"/>
  <c r="P72" i="71"/>
  <c r="O72" i="71"/>
  <c r="N72" i="71"/>
  <c r="F72" i="71"/>
  <c r="V72" i="71" s="1"/>
  <c r="E72" i="71"/>
  <c r="C72" i="71"/>
  <c r="T72" i="71" s="1"/>
  <c r="B72" i="71"/>
  <c r="S72" i="71" s="1"/>
  <c r="Q71" i="71"/>
  <c r="P71" i="71"/>
  <c r="O71" i="71"/>
  <c r="N71" i="71"/>
  <c r="F71" i="71"/>
  <c r="F70" i="71" s="1"/>
  <c r="C71" i="71"/>
  <c r="D71" i="71" s="1"/>
  <c r="B71" i="71"/>
  <c r="Q70" i="71"/>
  <c r="P70" i="71"/>
  <c r="O70" i="71"/>
  <c r="N70" i="71"/>
  <c r="C70" i="71"/>
  <c r="D70" i="71" s="1"/>
  <c r="B70" i="71"/>
  <c r="Q69" i="71"/>
  <c r="P69" i="71"/>
  <c r="O69" i="71"/>
  <c r="N69" i="71"/>
  <c r="D69" i="71"/>
  <c r="T68" i="71"/>
  <c r="O68" i="71"/>
  <c r="F68" i="71"/>
  <c r="V68" i="71" s="1"/>
  <c r="E68" i="71"/>
  <c r="U68" i="71" s="1"/>
  <c r="D68" i="71"/>
  <c r="C68" i="71"/>
  <c r="B68" i="71"/>
  <c r="S68" i="71" s="1"/>
  <c r="Q67" i="71"/>
  <c r="O67" i="71"/>
  <c r="F67" i="71"/>
  <c r="E67" i="71"/>
  <c r="E66" i="71" s="1"/>
  <c r="D67" i="71"/>
  <c r="C67" i="71"/>
  <c r="B67" i="71"/>
  <c r="N67" i="71" s="1"/>
  <c r="O66" i="71"/>
  <c r="F66" i="71"/>
  <c r="Q65" i="71" s="1"/>
  <c r="C66" i="71"/>
  <c r="D66" i="71" s="1"/>
  <c r="B66" i="71"/>
  <c r="N66" i="71" s="1"/>
  <c r="O65" i="71"/>
  <c r="D65" i="71"/>
  <c r="Q64" i="71"/>
  <c r="P64" i="71"/>
  <c r="O64" i="71"/>
  <c r="N64" i="71"/>
  <c r="Q63" i="71"/>
  <c r="P63" i="71"/>
  <c r="O63" i="71"/>
  <c r="N63" i="71"/>
  <c r="Q62" i="71"/>
  <c r="P62" i="71"/>
  <c r="O62" i="71"/>
  <c r="N62" i="71"/>
  <c r="F62" i="71"/>
  <c r="F63" i="71" s="1"/>
  <c r="F64" i="71" s="1"/>
  <c r="V64" i="71" s="1"/>
  <c r="C62" i="71"/>
  <c r="C63" i="71" s="1"/>
  <c r="Q61" i="71"/>
  <c r="P61" i="71"/>
  <c r="E62" i="71" s="1"/>
  <c r="E63" i="71" s="1"/>
  <c r="E64" i="71" s="1"/>
  <c r="U64" i="71" s="1"/>
  <c r="O61" i="71"/>
  <c r="N61" i="71"/>
  <c r="B62" i="71" s="1"/>
  <c r="D61" i="71"/>
  <c r="Q60" i="71"/>
  <c r="P60" i="71"/>
  <c r="O60" i="71"/>
  <c r="N60" i="71"/>
  <c r="Q59" i="71"/>
  <c r="P59" i="71"/>
  <c r="O59" i="71"/>
  <c r="N59" i="71"/>
  <c r="E59" i="71"/>
  <c r="E60" i="71" s="1"/>
  <c r="U60" i="71" s="1"/>
  <c r="Q58" i="71"/>
  <c r="P58" i="71"/>
  <c r="O58" i="71"/>
  <c r="N58" i="71"/>
  <c r="E58" i="71"/>
  <c r="C58" i="71"/>
  <c r="C59" i="71" s="1"/>
  <c r="Q57" i="71"/>
  <c r="F58" i="71" s="1"/>
  <c r="F59" i="71" s="1"/>
  <c r="P57" i="71"/>
  <c r="O57" i="71"/>
  <c r="N57" i="71"/>
  <c r="B58" i="71" s="1"/>
  <c r="D57" i="71"/>
  <c r="Q56" i="71"/>
  <c r="P56" i="71"/>
  <c r="O56" i="71"/>
  <c r="N56" i="71"/>
  <c r="Q55" i="71"/>
  <c r="P55" i="71"/>
  <c r="O55" i="71"/>
  <c r="N55" i="71"/>
  <c r="Q54" i="71"/>
  <c r="P54" i="71"/>
  <c r="O54" i="71"/>
  <c r="N54" i="71"/>
  <c r="F54" i="71"/>
  <c r="F55" i="71" s="1"/>
  <c r="F56" i="71" s="1"/>
  <c r="V56" i="71" s="1"/>
  <c r="E54" i="71"/>
  <c r="E55" i="71" s="1"/>
  <c r="E56" i="71" s="1"/>
  <c r="U56" i="71" s="1"/>
  <c r="C54" i="71"/>
  <c r="C55" i="71" s="1"/>
  <c r="Q53" i="71"/>
  <c r="P53" i="71"/>
  <c r="O53" i="71"/>
  <c r="N53" i="71"/>
  <c r="B54" i="71" s="1"/>
  <c r="B55" i="71" s="1"/>
  <c r="D53" i="71"/>
  <c r="Q52" i="71"/>
  <c r="P52" i="71"/>
  <c r="O52" i="71"/>
  <c r="N52" i="71"/>
  <c r="Q51" i="71"/>
  <c r="P51" i="71"/>
  <c r="O51" i="71"/>
  <c r="N51" i="71"/>
  <c r="Q50" i="71"/>
  <c r="P50" i="71"/>
  <c r="O50" i="71"/>
  <c r="N50" i="71"/>
  <c r="F50" i="71"/>
  <c r="F51" i="71" s="1"/>
  <c r="F52" i="71" s="1"/>
  <c r="V52" i="71" s="1"/>
  <c r="E50" i="71"/>
  <c r="E51" i="71" s="1"/>
  <c r="E52" i="71" s="1"/>
  <c r="U52" i="71" s="1"/>
  <c r="Q49" i="71"/>
  <c r="P49" i="71"/>
  <c r="O49" i="71"/>
  <c r="C50" i="71" s="1"/>
  <c r="C51" i="71" s="1"/>
  <c r="N49" i="71"/>
  <c r="B50" i="71" s="1"/>
  <c r="D49" i="71"/>
  <c r="T48" i="71"/>
  <c r="Q48" i="71"/>
  <c r="P48" i="71"/>
  <c r="O48" i="71"/>
  <c r="N48" i="71"/>
  <c r="D48" i="71"/>
  <c r="Q47" i="71"/>
  <c r="P47" i="71"/>
  <c r="O47" i="71"/>
  <c r="N47" i="71"/>
  <c r="Q46" i="71"/>
  <c r="P46" i="71"/>
  <c r="O46" i="71"/>
  <c r="N46" i="71"/>
  <c r="Q45" i="71"/>
  <c r="F46"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Q41" i="71"/>
  <c r="F42" i="71" s="1"/>
  <c r="P41" i="7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Y39" i="71"/>
  <c r="Z39" i="71" s="1"/>
  <c r="Q39" i="71"/>
  <c r="AB39" i="71" s="1"/>
  <c r="P39" i="71"/>
  <c r="AA39" i="71" s="1"/>
  <c r="O39" i="71"/>
  <c r="N39" i="71"/>
  <c r="AH38" i="71"/>
  <c r="AG38" i="71"/>
  <c r="AE38" i="71"/>
  <c r="AF38" i="71" s="1"/>
  <c r="AD38" i="71"/>
  <c r="AA38" i="71"/>
  <c r="Q38" i="71"/>
  <c r="P38" i="71"/>
  <c r="O38" i="71"/>
  <c r="Y38" i="71" s="1"/>
  <c r="Z38" i="71" s="1"/>
  <c r="N38" i="71"/>
  <c r="F38" i="71"/>
  <c r="F39" i="71" s="1"/>
  <c r="F40" i="71" s="1"/>
  <c r="V40" i="71" s="1"/>
  <c r="B38" i="71"/>
  <c r="B39" i="71" s="1"/>
  <c r="B40" i="71" s="1"/>
  <c r="S40" i="71" s="1"/>
  <c r="AH37" i="71"/>
  <c r="AG37" i="71"/>
  <c r="AE37" i="71"/>
  <c r="AF37" i="71" s="1"/>
  <c r="AD37" i="71"/>
  <c r="Q37" i="71"/>
  <c r="P37" i="71"/>
  <c r="O37" i="71"/>
  <c r="N37" i="71"/>
  <c r="D37" i="71"/>
  <c r="AH36" i="71"/>
  <c r="AG36" i="71"/>
  <c r="AE36" i="71"/>
  <c r="AF36" i="71" s="1"/>
  <c r="AD36" i="71"/>
  <c r="Q36" i="71"/>
  <c r="P36" i="71"/>
  <c r="O36" i="71"/>
  <c r="N36" i="71"/>
  <c r="AH35" i="71"/>
  <c r="AG35" i="71"/>
  <c r="AE35" i="71"/>
  <c r="AF35" i="71" s="1"/>
  <c r="AD35" i="71"/>
  <c r="Q35" i="71"/>
  <c r="AB35" i="71" s="1"/>
  <c r="P35" i="71"/>
  <c r="O35" i="71"/>
  <c r="N35" i="71"/>
  <c r="AH34" i="71"/>
  <c r="AG34" i="71"/>
  <c r="AF34" i="71"/>
  <c r="AE34" i="71"/>
  <c r="AD34" i="71"/>
  <c r="AA34" i="71"/>
  <c r="Q34" i="71"/>
  <c r="P34" i="71"/>
  <c r="O34" i="71"/>
  <c r="N34" i="71"/>
  <c r="AH33" i="71"/>
  <c r="AG33" i="71"/>
  <c r="AE33" i="71"/>
  <c r="AF33" i="71" s="1"/>
  <c r="AD33" i="71"/>
  <c r="Q33" i="71"/>
  <c r="F34" i="71" s="1"/>
  <c r="F35" i="71" s="1"/>
  <c r="F36" i="71" s="1"/>
  <c r="V36" i="71" s="1"/>
  <c r="P33" i="71"/>
  <c r="O33" i="71"/>
  <c r="C34" i="71" s="1"/>
  <c r="N33" i="71"/>
  <c r="B34" i="71" s="1"/>
  <c r="B35" i="71" s="1"/>
  <c r="D33" i="71"/>
  <c r="AH32" i="71"/>
  <c r="AG32" i="71"/>
  <c r="AF32" i="71"/>
  <c r="AE32" i="7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D30" i="71"/>
  <c r="AH29" i="71"/>
  <c r="AG29" i="71"/>
  <c r="AE29" i="71"/>
  <c r="AF29" i="71" s="1"/>
  <c r="AD29" i="71"/>
  <c r="Q29" i="71"/>
  <c r="F30" i="71" s="1"/>
  <c r="F31" i="71" s="1"/>
  <c r="F32" i="71" s="1"/>
  <c r="V32" i="71" s="1"/>
  <c r="P29" i="71"/>
  <c r="O29" i="71"/>
  <c r="C30" i="71" s="1"/>
  <c r="C31" i="71" s="1"/>
  <c r="N29" i="71"/>
  <c r="B30" i="71" s="1"/>
  <c r="B31" i="71" s="1"/>
  <c r="D29" i="71"/>
  <c r="AH28" i="71"/>
  <c r="AG28" i="71"/>
  <c r="AF28" i="71"/>
  <c r="AE28" i="71"/>
  <c r="AD28" i="71"/>
  <c r="Q28" i="71"/>
  <c r="P28" i="71"/>
  <c r="O28" i="71"/>
  <c r="Y28" i="71" s="1"/>
  <c r="Z28" i="71" s="1"/>
  <c r="N28" i="71"/>
  <c r="F28" i="71"/>
  <c r="E28" i="71"/>
  <c r="V28" i="71" s="1"/>
  <c r="B28" i="71"/>
  <c r="S28" i="71" s="1"/>
  <c r="AH27" i="71"/>
  <c r="AG27" i="71"/>
  <c r="AF27" i="71"/>
  <c r="AE27" i="71"/>
  <c r="AD27" i="71"/>
  <c r="Q27" i="71"/>
  <c r="P27" i="71"/>
  <c r="O27" i="71"/>
  <c r="N27" i="71"/>
  <c r="B27" i="71" s="1"/>
  <c r="F27" i="71"/>
  <c r="E27" i="71"/>
  <c r="AH26" i="71"/>
  <c r="AG26" i="71"/>
  <c r="AF26" i="71"/>
  <c r="AE26" i="71"/>
  <c r="AD26" i="71"/>
  <c r="Q26" i="71"/>
  <c r="P26" i="71"/>
  <c r="O26" i="71"/>
  <c r="N26" i="71"/>
  <c r="B26" i="71" s="1"/>
  <c r="F26" i="71"/>
  <c r="E26" i="71"/>
  <c r="AH25" i="71"/>
  <c r="AG25" i="71"/>
  <c r="AE25" i="71"/>
  <c r="AF25" i="71" s="1"/>
  <c r="AD25" i="71"/>
  <c r="Q25" i="71"/>
  <c r="P25" i="71"/>
  <c r="O25" i="71"/>
  <c r="N25" i="71"/>
  <c r="D25" i="71"/>
  <c r="AH24" i="71"/>
  <c r="AG24" i="71"/>
  <c r="AE24" i="71"/>
  <c r="AF24" i="71" s="1"/>
  <c r="AD24" i="71"/>
  <c r="Q24" i="71"/>
  <c r="P24" i="71"/>
  <c r="O24" i="71"/>
  <c r="C24" i="71" s="1"/>
  <c r="N24" i="71"/>
  <c r="F24" i="71"/>
  <c r="F23" i="71" s="1"/>
  <c r="F22" i="71" s="1"/>
  <c r="F21" i="71" s="1"/>
  <c r="F20" i="71" s="1"/>
  <c r="E24" i="71"/>
  <c r="V24" i="71" s="1"/>
  <c r="D24" i="71"/>
  <c r="U24" i="71" s="1"/>
  <c r="AH23" i="71"/>
  <c r="AG23" i="71"/>
  <c r="AE23" i="71"/>
  <c r="AF23" i="71" s="1"/>
  <c r="AD23" i="71"/>
  <c r="Q23" i="71"/>
  <c r="P23" i="71"/>
  <c r="O23" i="71"/>
  <c r="N23" i="71"/>
  <c r="E23" i="71"/>
  <c r="AH22" i="71"/>
  <c r="AG22" i="71"/>
  <c r="AF22" i="71"/>
  <c r="AE22" i="71"/>
  <c r="AD22" i="71"/>
  <c r="Q22" i="71"/>
  <c r="P22" i="71"/>
  <c r="O22" i="71"/>
  <c r="N22" i="71"/>
  <c r="E22" i="71"/>
  <c r="AH21" i="71"/>
  <c r="AG21" i="71"/>
  <c r="AE21" i="71"/>
  <c r="AF21" i="71" s="1"/>
  <c r="AD21" i="71"/>
  <c r="Q21" i="71"/>
  <c r="P21" i="71"/>
  <c r="O21" i="71"/>
  <c r="N21" i="71"/>
  <c r="AH20" i="71"/>
  <c r="AG20" i="71"/>
  <c r="AF20" i="71"/>
  <c r="AE20" i="71"/>
  <c r="AD20" i="71"/>
  <c r="Q20" i="71"/>
  <c r="P20" i="71"/>
  <c r="O20" i="71"/>
  <c r="N20" i="71"/>
  <c r="AH19" i="71"/>
  <c r="AG19" i="71"/>
  <c r="AE19" i="71"/>
  <c r="AF19" i="71" s="1"/>
  <c r="AD19" i="71"/>
  <c r="Q19" i="71"/>
  <c r="P19" i="71"/>
  <c r="O19" i="71"/>
  <c r="N19" i="71"/>
  <c r="F19" i="71"/>
  <c r="F18" i="71" s="1"/>
  <c r="F17" i="71" s="1"/>
  <c r="F16" i="71" s="1"/>
  <c r="F15" i="71" s="1"/>
  <c r="F14" i="71" s="1"/>
  <c r="F13" i="71" s="1"/>
  <c r="F12" i="71" s="1"/>
  <c r="F11" i="71" s="1"/>
  <c r="F10" i="71" s="1"/>
  <c r="F9" i="71" s="1"/>
  <c r="F8" i="71" s="1"/>
  <c r="F7" i="71" s="1"/>
  <c r="AH18" i="71"/>
  <c r="AG18" i="71"/>
  <c r="AE18" i="71"/>
  <c r="AF18" i="71" s="1"/>
  <c r="AD18" i="71"/>
  <c r="Q18" i="71"/>
  <c r="P18" i="71"/>
  <c r="O18" i="71"/>
  <c r="Y18" i="71" s="1"/>
  <c r="Z18" i="71" s="1"/>
  <c r="N18" i="71"/>
  <c r="AH17" i="71"/>
  <c r="AG17" i="71"/>
  <c r="AE17" i="71"/>
  <c r="AF17" i="71" s="1"/>
  <c r="AD17" i="71"/>
  <c r="Q17" i="71"/>
  <c r="P17" i="71"/>
  <c r="O17" i="71"/>
  <c r="Y15" i="71" s="1"/>
  <c r="Z15" i="71" s="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Y11" i="71" s="1"/>
  <c r="Z11" i="71" s="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P52" i="79"/>
  <c r="N52" i="79"/>
  <c r="M52" i="79"/>
  <c r="L52" i="79"/>
  <c r="I52" i="79"/>
  <c r="AB51" i="79"/>
  <c r="AA51" i="79"/>
  <c r="Z51" i="79"/>
  <c r="N51" i="79"/>
  <c r="U51" i="79" s="1"/>
  <c r="AI51" i="79" s="1"/>
  <c r="M51" i="79"/>
  <c r="L51" i="79"/>
  <c r="S51" i="79" s="1"/>
  <c r="AG51" i="79" s="1"/>
  <c r="I51" i="79"/>
  <c r="AB50" i="79"/>
  <c r="AA50" i="79"/>
  <c r="Z50" i="79"/>
  <c r="N50" i="79"/>
  <c r="U50" i="79" s="1"/>
  <c r="AI50" i="79" s="1"/>
  <c r="M50" i="79"/>
  <c r="P50" i="79" s="1"/>
  <c r="L50" i="79"/>
  <c r="S50" i="79" s="1"/>
  <c r="AG50" i="79" s="1"/>
  <c r="I50" i="79"/>
  <c r="AB49" i="79"/>
  <c r="AA49" i="79"/>
  <c r="Z49" i="79"/>
  <c r="N49" i="79"/>
  <c r="M49" i="79"/>
  <c r="P49" i="79" s="1"/>
  <c r="L49" i="79"/>
  <c r="S49" i="79" s="1"/>
  <c r="AG49" i="79" s="1"/>
  <c r="I49" i="79"/>
  <c r="AB48" i="79"/>
  <c r="AA48" i="79"/>
  <c r="Z48" i="79"/>
  <c r="U48" i="79"/>
  <c r="AI48" i="79" s="1"/>
  <c r="N48" i="79"/>
  <c r="M48" i="79"/>
  <c r="P48" i="79" s="1"/>
  <c r="L48" i="79"/>
  <c r="I48" i="79"/>
  <c r="AB47" i="79"/>
  <c r="AA47" i="79"/>
  <c r="AA31" i="79" s="1"/>
  <c r="AD31" i="79" s="1"/>
  <c r="Z47" i="79"/>
  <c r="N47" i="79"/>
  <c r="U47" i="79" s="1"/>
  <c r="AI47" i="79" s="1"/>
  <c r="M47" i="79"/>
  <c r="L47" i="79"/>
  <c r="I47" i="79"/>
  <c r="AB46" i="79"/>
  <c r="AA46" i="79"/>
  <c r="Z46" i="79"/>
  <c r="N46" i="79"/>
  <c r="M46" i="79"/>
  <c r="P46" i="79" s="1"/>
  <c r="L46" i="79"/>
  <c r="I46" i="79"/>
  <c r="AB45" i="79"/>
  <c r="AA45" i="79"/>
  <c r="Z45" i="79"/>
  <c r="N45" i="79"/>
  <c r="U45" i="79" s="1"/>
  <c r="AI45" i="79" s="1"/>
  <c r="M45" i="79"/>
  <c r="P45" i="79" s="1"/>
  <c r="L45" i="79"/>
  <c r="I45" i="79"/>
  <c r="N44" i="79"/>
  <c r="U44" i="79" s="1"/>
  <c r="AI44" i="79" s="1"/>
  <c r="M44" i="79"/>
  <c r="P44" i="79" s="1"/>
  <c r="L44" i="79"/>
  <c r="I44" i="79"/>
  <c r="N43" i="79"/>
  <c r="U43" i="79" s="1"/>
  <c r="AI43" i="79" s="1"/>
  <c r="M43" i="79"/>
  <c r="L43" i="79"/>
  <c r="I43" i="79"/>
  <c r="U42" i="79"/>
  <c r="AI42" i="79" s="1"/>
  <c r="N42" i="79"/>
  <c r="M42" i="79"/>
  <c r="P42" i="79" s="1"/>
  <c r="L42" i="79"/>
  <c r="I42" i="79"/>
  <c r="N41" i="79"/>
  <c r="M41" i="79"/>
  <c r="L41" i="79"/>
  <c r="I41" i="79"/>
  <c r="N40" i="79"/>
  <c r="M40" i="79"/>
  <c r="P40" i="79" s="1"/>
  <c r="L40" i="79"/>
  <c r="I40" i="79"/>
  <c r="AB39" i="79"/>
  <c r="AA39" i="79"/>
  <c r="Z39" i="79"/>
  <c r="P39" i="79"/>
  <c r="N39" i="79"/>
  <c r="M39" i="79"/>
  <c r="L39" i="79"/>
  <c r="I39" i="79"/>
  <c r="AD39" i="79" s="1"/>
  <c r="AB38" i="79"/>
  <c r="AA38" i="79"/>
  <c r="Z38" i="79"/>
  <c r="N38" i="79"/>
  <c r="U38" i="79" s="1"/>
  <c r="AI38" i="79" s="1"/>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P36" i="79"/>
  <c r="N36" i="79"/>
  <c r="M36" i="79"/>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G31" i="79"/>
  <c r="F31" i="79"/>
  <c r="I31" i="79" s="1"/>
  <c r="E31" i="79"/>
  <c r="AC24" i="79"/>
  <c r="AB24" i="79"/>
  <c r="AB3" i="79" s="1"/>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S22" i="79"/>
  <c r="AG22" i="79" s="1"/>
  <c r="O22" i="79"/>
  <c r="N22" i="79"/>
  <c r="U22" i="79" s="1"/>
  <c r="AI22" i="79" s="1"/>
  <c r="M22" i="79"/>
  <c r="P22" i="79" s="1"/>
  <c r="L22" i="79"/>
  <c r="K22" i="79"/>
  <c r="I22" i="79"/>
  <c r="AD21" i="79"/>
  <c r="AC21" i="79"/>
  <c r="AB21" i="79"/>
  <c r="AA21" i="79"/>
  <c r="Z21" i="79"/>
  <c r="Y21" i="79"/>
  <c r="R21" i="79"/>
  <c r="AF21" i="79" s="1"/>
  <c r="O21" i="79"/>
  <c r="V21" i="79" s="1"/>
  <c r="AJ21" i="79" s="1"/>
  <c r="N21" i="79"/>
  <c r="U21" i="79" s="1"/>
  <c r="AI21" i="79" s="1"/>
  <c r="M21" i="79"/>
  <c r="L21" i="79"/>
  <c r="S21" i="79" s="1"/>
  <c r="AG21" i="79" s="1"/>
  <c r="K21" i="79"/>
  <c r="I21" i="79"/>
  <c r="AD20" i="79"/>
  <c r="AC20" i="79"/>
  <c r="AB20" i="79"/>
  <c r="AA20" i="79"/>
  <c r="Z20" i="79"/>
  <c r="Y20" i="79"/>
  <c r="P20" i="79"/>
  <c r="O20" i="79"/>
  <c r="N20" i="79"/>
  <c r="M20" i="79"/>
  <c r="L20" i="79"/>
  <c r="S20" i="79" s="1"/>
  <c r="AG20" i="79" s="1"/>
  <c r="K20" i="79"/>
  <c r="R20" i="79" s="1"/>
  <c r="AF20" i="79" s="1"/>
  <c r="I20" i="79"/>
  <c r="AC19" i="79"/>
  <c r="AB19" i="79"/>
  <c r="AA19" i="79"/>
  <c r="AD19" i="79" s="1"/>
  <c r="Z19" i="79"/>
  <c r="Y19" i="79"/>
  <c r="O19" i="79"/>
  <c r="N19" i="79"/>
  <c r="U19" i="79" s="1"/>
  <c r="AI19" i="79" s="1"/>
  <c r="M19" i="79"/>
  <c r="P19" i="79" s="1"/>
  <c r="L19" i="79"/>
  <c r="S19" i="79" s="1"/>
  <c r="AG19" i="79" s="1"/>
  <c r="K19" i="79"/>
  <c r="I19" i="79"/>
  <c r="AC18" i="79"/>
  <c r="AB18" i="79"/>
  <c r="AA18" i="79"/>
  <c r="AD18" i="79" s="1"/>
  <c r="Z18" i="79"/>
  <c r="Y18" i="79"/>
  <c r="O18" i="79"/>
  <c r="N18" i="79"/>
  <c r="U18" i="79" s="1"/>
  <c r="AI18" i="79" s="1"/>
  <c r="M18" i="79"/>
  <c r="P18" i="79" s="1"/>
  <c r="L18" i="79"/>
  <c r="K18" i="79"/>
  <c r="I18" i="79"/>
  <c r="AD17" i="79"/>
  <c r="AC17" i="79"/>
  <c r="AC3" i="79" s="1"/>
  <c r="AB17" i="79"/>
  <c r="AA17" i="79"/>
  <c r="Z17" i="79"/>
  <c r="Y17" i="79"/>
  <c r="Y3" i="79" s="1"/>
  <c r="O17" i="79"/>
  <c r="N17" i="79"/>
  <c r="U17" i="79" s="1"/>
  <c r="AI17" i="79" s="1"/>
  <c r="M17" i="79"/>
  <c r="P17" i="79" s="1"/>
  <c r="L17" i="79"/>
  <c r="K17" i="79"/>
  <c r="I17" i="79"/>
  <c r="O16" i="79"/>
  <c r="N16" i="79"/>
  <c r="M16" i="79"/>
  <c r="P16" i="79" s="1"/>
  <c r="L16" i="79"/>
  <c r="K16" i="79"/>
  <c r="I16" i="79"/>
  <c r="O15" i="79"/>
  <c r="N15" i="79"/>
  <c r="M15" i="79"/>
  <c r="P15" i="79" s="1"/>
  <c r="L15" i="79"/>
  <c r="S15" i="79" s="1"/>
  <c r="AG15" i="79" s="1"/>
  <c r="K15" i="79"/>
  <c r="I15" i="79"/>
  <c r="O14" i="79"/>
  <c r="N14" i="79"/>
  <c r="M14" i="79"/>
  <c r="L14" i="79"/>
  <c r="K14" i="79"/>
  <c r="I14" i="79"/>
  <c r="U13" i="79"/>
  <c r="AI13" i="79" s="1"/>
  <c r="O13" i="79"/>
  <c r="N13" i="79"/>
  <c r="M13" i="79"/>
  <c r="L13" i="79"/>
  <c r="K13" i="79"/>
  <c r="I13" i="79"/>
  <c r="O12" i="79"/>
  <c r="N12" i="79"/>
  <c r="M12" i="79"/>
  <c r="P12" i="79" s="1"/>
  <c r="L12" i="79"/>
  <c r="K12" i="79"/>
  <c r="R12" i="79" s="1"/>
  <c r="AF12" i="79" s="1"/>
  <c r="I12" i="79"/>
  <c r="AD11" i="79"/>
  <c r="AC11" i="79"/>
  <c r="AB11" i="79"/>
  <c r="AA11" i="79"/>
  <c r="Z11" i="79"/>
  <c r="Y11" i="79"/>
  <c r="O11" i="79"/>
  <c r="N11" i="79"/>
  <c r="M11" i="79"/>
  <c r="P11" i="79" s="1"/>
  <c r="L11" i="79"/>
  <c r="K11" i="79"/>
  <c r="I11" i="79"/>
  <c r="AD10" i="79"/>
  <c r="AC10" i="79"/>
  <c r="AB10" i="79"/>
  <c r="AA10" i="79"/>
  <c r="Z10" i="79"/>
  <c r="Y10" i="79"/>
  <c r="T10" i="79"/>
  <c r="W10" i="79" s="1"/>
  <c r="AK10" i="79" s="1"/>
  <c r="O10" i="79"/>
  <c r="N10" i="79"/>
  <c r="M10" i="79"/>
  <c r="P10" i="79" s="1"/>
  <c r="L10" i="79"/>
  <c r="K10" i="79"/>
  <c r="I10" i="79"/>
  <c r="AC9" i="79"/>
  <c r="AB9" i="79"/>
  <c r="AA9" i="79"/>
  <c r="AD9" i="79" s="1"/>
  <c r="Z9" i="79"/>
  <c r="Y9" i="79"/>
  <c r="O9" i="79"/>
  <c r="N9" i="79"/>
  <c r="M9" i="79"/>
  <c r="P9" i="79" s="1"/>
  <c r="L9" i="79"/>
  <c r="S9" i="79" s="1"/>
  <c r="AG9" i="79" s="1"/>
  <c r="K9" i="79"/>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M8" i="79"/>
  <c r="P8" i="79" s="1"/>
  <c r="L8" i="79"/>
  <c r="K8" i="79"/>
  <c r="I8" i="79"/>
  <c r="AN7" i="79"/>
  <c r="AN8" i="79" s="1"/>
  <c r="AN9" i="79" s="1"/>
  <c r="AN10" i="79" s="1"/>
  <c r="AN11" i="79" s="1"/>
  <c r="AN12" i="79" s="1"/>
  <c r="AN13" i="79" s="1"/>
  <c r="AN14" i="79" s="1"/>
  <c r="AN15" i="79" s="1"/>
  <c r="AN16" i="79" s="1"/>
  <c r="AN17" i="79" s="1"/>
  <c r="AN18" i="79" s="1"/>
  <c r="AN19" i="79" s="1"/>
  <c r="AN20" i="79" s="1"/>
  <c r="AN21" i="79" s="1"/>
  <c r="AN22" i="79" s="1"/>
  <c r="AN23" i="79" s="1"/>
  <c r="AN24" i="79" s="1"/>
  <c r="AC7" i="79"/>
  <c r="AB7" i="79"/>
  <c r="AA7" i="79"/>
  <c r="AD7" i="79" s="1"/>
  <c r="Z7" i="79"/>
  <c r="Y7" i="79"/>
  <c r="P7" i="79"/>
  <c r="O7" i="79"/>
  <c r="N7" i="79"/>
  <c r="M7" i="79"/>
  <c r="L7" i="79"/>
  <c r="S7" i="79" s="1"/>
  <c r="AG7" i="79" s="1"/>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T6" i="79" s="1"/>
  <c r="W6" i="79" s="1"/>
  <c r="AK6" i="79" s="1"/>
  <c r="L6" i="79"/>
  <c r="K6" i="79"/>
  <c r="I6" i="79"/>
  <c r="AD5" i="79"/>
  <c r="AC5" i="79"/>
  <c r="AB5" i="79"/>
  <c r="AA5" i="79"/>
  <c r="Z5" i="79"/>
  <c r="Y5" i="79"/>
  <c r="O5" i="79"/>
  <c r="N5" i="79"/>
  <c r="M5" i="79"/>
  <c r="P5" i="79" s="1"/>
  <c r="L5" i="79"/>
  <c r="K5" i="79"/>
  <c r="I5" i="79"/>
  <c r="AR6" i="79" s="1"/>
  <c r="AR7" i="79" s="1"/>
  <c r="AR8" i="79" s="1"/>
  <c r="AR9" i="79" s="1"/>
  <c r="AR10" i="79" s="1"/>
  <c r="AR11" i="79" s="1"/>
  <c r="AR12" i="79" s="1"/>
  <c r="AR13" i="79" s="1"/>
  <c r="AR14" i="79" s="1"/>
  <c r="AR15" i="79" s="1"/>
  <c r="AR16" i="79" s="1"/>
  <c r="AR17" i="79" s="1"/>
  <c r="T3" i="79"/>
  <c r="W3"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M94" i="43"/>
  <c r="N94" i="43" s="1"/>
  <c r="K94" i="43"/>
  <c r="J94" i="43" s="1"/>
  <c r="D94" i="43"/>
  <c r="M93" i="43"/>
  <c r="N93" i="43" s="1"/>
  <c r="K93" i="43"/>
  <c r="J93" i="43" s="1"/>
  <c r="F93" i="43"/>
  <c r="D93" i="43"/>
  <c r="N90" i="43"/>
  <c r="M90" i="43"/>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E83" i="43"/>
  <c r="B81"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E72" i="43" s="1"/>
  <c r="B70" i="43" s="1"/>
  <c r="N69" i="43"/>
  <c r="M69" i="43"/>
  <c r="K69" i="43"/>
  <c r="D69" i="43" s="1"/>
  <c r="J69" i="43"/>
  <c r="M68" i="43"/>
  <c r="N68" i="43" s="1"/>
  <c r="K68" i="43"/>
  <c r="J68" i="43" s="1"/>
  <c r="D68" i="43" s="1"/>
  <c r="N67" i="43"/>
  <c r="M67" i="43"/>
  <c r="K67" i="43"/>
  <c r="J67" i="43"/>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N51" i="43"/>
  <c r="M51" i="43"/>
  <c r="K51" i="43"/>
  <c r="J51" i="43"/>
  <c r="D51" i="43"/>
  <c r="M50" i="43"/>
  <c r="N50" i="43" s="1"/>
  <c r="K50" i="43"/>
  <c r="J50" i="43" s="1"/>
  <c r="F50" i="43"/>
  <c r="H55" i="43" s="1"/>
  <c r="D50" i="43"/>
  <c r="E50" i="43" s="1"/>
  <c r="B48" i="43" s="1"/>
  <c r="B50" i="43"/>
  <c r="H42" i="43"/>
  <c r="H41" i="43"/>
  <c r="H40" i="43"/>
  <c r="H39" i="43"/>
  <c r="H38" i="43"/>
  <c r="H37" i="43"/>
  <c r="J24" i="43"/>
  <c r="G24" i="43"/>
  <c r="E24" i="43"/>
  <c r="O32" i="43" s="1"/>
  <c r="I23" i="43"/>
  <c r="C22" i="43"/>
  <c r="N21" i="43"/>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8" i="43"/>
  <c r="N7" i="43"/>
  <c r="M6" i="43"/>
  <c r="N5" i="43"/>
  <c r="N4"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G98" i="40"/>
  <c r="H98" i="40" s="1"/>
  <c r="I98" i="40" s="1"/>
  <c r="J98" i="40" s="1"/>
  <c r="K98" i="40" s="1"/>
  <c r="L98" i="40" s="1"/>
  <c r="M98" i="40" s="1"/>
  <c r="D98" i="40"/>
  <c r="E98" i="40" s="1"/>
  <c r="F98" i="40" s="1"/>
  <c r="E96" i="40"/>
  <c r="F96" i="40" s="1"/>
  <c r="G96" i="40" s="1"/>
  <c r="H96" i="40" s="1"/>
  <c r="I96" i="40" s="1"/>
  <c r="J96" i="40" s="1"/>
  <c r="K96" i="40" s="1"/>
  <c r="L96" i="40" s="1"/>
  <c r="M96" i="40" s="1"/>
  <c r="D96" i="40"/>
  <c r="B95" i="40"/>
  <c r="F94" i="40"/>
  <c r="G94" i="40" s="1"/>
  <c r="D94" i="40"/>
  <c r="E94" i="40" s="1"/>
  <c r="D92" i="40"/>
  <c r="E92" i="40" s="1"/>
  <c r="F92" i="40" s="1"/>
  <c r="G92" i="40" s="1"/>
  <c r="D90" i="40"/>
  <c r="E90" i="40" s="1"/>
  <c r="F90" i="40" s="1"/>
  <c r="G90" i="40" s="1"/>
  <c r="D88" i="40"/>
  <c r="E88" i="40" s="1"/>
  <c r="F88" i="40" s="1"/>
  <c r="G88" i="40" s="1"/>
  <c r="G86" i="40"/>
  <c r="D86" i="40"/>
  <c r="E86" i="40" s="1"/>
  <c r="F86" i="40" s="1"/>
  <c r="F84" i="40"/>
  <c r="G84" i="40" s="1"/>
  <c r="D84" i="40"/>
  <c r="E84" i="40" s="1"/>
  <c r="B81" i="40"/>
  <c r="B79" i="40"/>
  <c r="J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H53" i="40"/>
  <c r="I53" i="40" s="1"/>
  <c r="C53" i="40" s="1"/>
  <c r="H52" i="40"/>
  <c r="I52" i="40" s="1"/>
  <c r="C52" i="40" s="1"/>
  <c r="J48" i="40"/>
  <c r="I48" i="40"/>
  <c r="G48" i="40"/>
  <c r="H48" i="40" s="1"/>
  <c r="E48" i="40"/>
  <c r="F48" i="40" s="1"/>
  <c r="P43" i="40"/>
  <c r="P42" i="40"/>
  <c r="K42" i="40"/>
  <c r="V41" i="40"/>
  <c r="T41" i="40"/>
  <c r="R41" i="40"/>
  <c r="P41" i="40"/>
  <c r="Q40" i="40"/>
  <c r="Z40" i="40" s="1"/>
  <c r="Q39" i="40"/>
  <c r="Z39" i="40" s="1"/>
  <c r="J39" i="40"/>
  <c r="AC39" i="40" s="1"/>
  <c r="H39" i="40"/>
  <c r="AB39" i="40" s="1"/>
  <c r="F39" i="40"/>
  <c r="AA39" i="40" s="1"/>
  <c r="AC38" i="40"/>
  <c r="Q38" i="40"/>
  <c r="Z38" i="40" s="1"/>
  <c r="J38" i="40"/>
  <c r="W38" i="40" s="1"/>
  <c r="H38" i="40"/>
  <c r="Q37" i="40"/>
  <c r="Z37" i="40" s="1"/>
  <c r="J37" i="40"/>
  <c r="AC37" i="40" s="1"/>
  <c r="H37" i="40"/>
  <c r="U37" i="40" s="1"/>
  <c r="F37" i="40"/>
  <c r="S37" i="40" s="1"/>
  <c r="Q36" i="40"/>
  <c r="Z36" i="40" s="1"/>
  <c r="J36" i="40"/>
  <c r="AC36" i="40" s="1"/>
  <c r="H36" i="40"/>
  <c r="AB36" i="40" s="1"/>
  <c r="F36" i="40"/>
  <c r="S36" i="40" s="1"/>
  <c r="W35" i="40"/>
  <c r="Q35" i="40"/>
  <c r="Z35" i="40" s="1"/>
  <c r="J35" i="40"/>
  <c r="AC35" i="40" s="1"/>
  <c r="H35" i="40"/>
  <c r="AB35" i="40" s="1"/>
  <c r="F35" i="40"/>
  <c r="AA35" i="40" s="1"/>
  <c r="AC34" i="40"/>
  <c r="U34" i="40"/>
  <c r="Q34" i="40"/>
  <c r="Z34" i="40" s="1"/>
  <c r="J34" i="40"/>
  <c r="W34" i="40" s="1"/>
  <c r="H34" i="40"/>
  <c r="AB34" i="40" s="1"/>
  <c r="F34" i="40"/>
  <c r="AA34" i="40" s="1"/>
  <c r="Q33" i="40"/>
  <c r="Z33" i="40" s="1"/>
  <c r="Q32" i="40"/>
  <c r="Z32" i="40" s="1"/>
  <c r="J32" i="40"/>
  <c r="AC32" i="40" s="1"/>
  <c r="H32" i="40"/>
  <c r="AB32" i="40" s="1"/>
  <c r="F32" i="40"/>
  <c r="S32" i="40" s="1"/>
  <c r="Q31" i="40"/>
  <c r="Z31" i="40" s="1"/>
  <c r="J31" i="40"/>
  <c r="AC31" i="40" s="1"/>
  <c r="AC30" i="40"/>
  <c r="Q30" i="40"/>
  <c r="Z30" i="40" s="1"/>
  <c r="J30" i="40"/>
  <c r="W30" i="40" s="1"/>
  <c r="C30" i="40"/>
  <c r="F30" i="40" s="1"/>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Q13" i="40"/>
  <c r="Z13" i="40" s="1"/>
  <c r="H13" i="40"/>
  <c r="U13" i="40" s="1"/>
  <c r="F13" i="40"/>
  <c r="S13" i="40" s="1"/>
  <c r="Q12" i="40"/>
  <c r="Z12" i="40" s="1"/>
  <c r="Q11" i="40"/>
  <c r="Z11" i="40" s="1"/>
  <c r="J11" i="40"/>
  <c r="W11" i="40" s="1"/>
  <c r="H11" i="40"/>
  <c r="U11" i="40" s="1"/>
  <c r="F11" i="40"/>
  <c r="AA11" i="40" s="1"/>
  <c r="Q10" i="40"/>
  <c r="Z10" i="40" s="1"/>
  <c r="Q9" i="40"/>
  <c r="Z9" i="40" s="1"/>
  <c r="J9" i="40"/>
  <c r="H9" i="40"/>
  <c r="AB9" i="40" s="1"/>
  <c r="F9" i="40"/>
  <c r="S9" i="40" s="1"/>
  <c r="AC8" i="40"/>
  <c r="W8" i="40"/>
  <c r="J8" i="40"/>
  <c r="H8" i="40"/>
  <c r="U8" i="40" s="1"/>
  <c r="F8" i="40"/>
  <c r="AA8" i="40" s="1"/>
  <c r="B130" i="39"/>
  <c r="F45" i="39" s="1"/>
  <c r="B128" i="39"/>
  <c r="B126" i="39"/>
  <c r="H43" i="39" s="1"/>
  <c r="D125" i="39"/>
  <c r="E125" i="39" s="1"/>
  <c r="F125" i="39" s="1"/>
  <c r="G125" i="39" s="1"/>
  <c r="H125" i="39" s="1"/>
  <c r="I125" i="39" s="1"/>
  <c r="J125" i="39" s="1"/>
  <c r="K125" i="39" s="1"/>
  <c r="L125" i="39" s="1"/>
  <c r="M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J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J31" i="39" s="1"/>
  <c r="D102" i="39"/>
  <c r="E102" i="39" s="1"/>
  <c r="F102" i="39" s="1"/>
  <c r="G102" i="39" s="1"/>
  <c r="E100" i="39"/>
  <c r="F100" i="39" s="1"/>
  <c r="G100" i="39" s="1"/>
  <c r="D100" i="39"/>
  <c r="D98" i="39"/>
  <c r="E98" i="39" s="1"/>
  <c r="F98" i="39" s="1"/>
  <c r="G98" i="39" s="1"/>
  <c r="D96" i="39"/>
  <c r="E96" i="39" s="1"/>
  <c r="F96" i="39" s="1"/>
  <c r="G96" i="39" s="1"/>
  <c r="G94" i="39"/>
  <c r="D94" i="39"/>
  <c r="E94" i="39" s="1"/>
  <c r="F94" i="39" s="1"/>
  <c r="E92" i="39"/>
  <c r="F92" i="39" s="1"/>
  <c r="G92" i="39" s="1"/>
  <c r="D92" i="39"/>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AB44" i="39"/>
  <c r="Q44" i="39"/>
  <c r="Z44" i="39" s="1"/>
  <c r="J44" i="39"/>
  <c r="AC44" i="39" s="1"/>
  <c r="H44" i="39"/>
  <c r="U44" i="39" s="1"/>
  <c r="F44" i="39"/>
  <c r="S44" i="39" s="1"/>
  <c r="Q43" i="39"/>
  <c r="Z43" i="39" s="1"/>
  <c r="F43" i="39"/>
  <c r="S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Z39" i="39"/>
  <c r="W39" i="39"/>
  <c r="Q39" i="39"/>
  <c r="J39" i="39"/>
  <c r="AC39" i="39" s="1"/>
  <c r="H39" i="39"/>
  <c r="AB39" i="39" s="1"/>
  <c r="F39" i="39"/>
  <c r="S39" i="39" s="1"/>
  <c r="Q38" i="39"/>
  <c r="Z38" i="39" s="1"/>
  <c r="J38" i="39"/>
  <c r="W38" i="39" s="1"/>
  <c r="H38" i="39"/>
  <c r="U38" i="39" s="1"/>
  <c r="F38" i="39"/>
  <c r="AA38" i="39" s="1"/>
  <c r="AB37" i="39"/>
  <c r="Q37" i="39"/>
  <c r="Z37" i="39" s="1"/>
  <c r="H37" i="39"/>
  <c r="U37" i="39" s="1"/>
  <c r="F37" i="39"/>
  <c r="S37" i="39" s="1"/>
  <c r="AB36" i="39"/>
  <c r="Q36" i="39"/>
  <c r="Z36" i="39" s="1"/>
  <c r="H36" i="39"/>
  <c r="U36" i="39" s="1"/>
  <c r="Q35" i="39"/>
  <c r="Z35" i="39" s="1"/>
  <c r="F35" i="39"/>
  <c r="S35" i="39" s="1"/>
  <c r="W34" i="39"/>
  <c r="Q34" i="39"/>
  <c r="Z34" i="39" s="1"/>
  <c r="J34" i="39"/>
  <c r="AC34" i="39" s="1"/>
  <c r="H34" i="39"/>
  <c r="U34" i="39" s="1"/>
  <c r="F34" i="39"/>
  <c r="AA34" i="39" s="1"/>
  <c r="Q32" i="39"/>
  <c r="Z32" i="39" s="1"/>
  <c r="J32" i="39"/>
  <c r="W32" i="39" s="1"/>
  <c r="H32" i="39"/>
  <c r="U32" i="39" s="1"/>
  <c r="F32" i="39"/>
  <c r="S32" i="39" s="1"/>
  <c r="U31" i="39"/>
  <c r="Q31" i="39"/>
  <c r="Z31" i="39" s="1"/>
  <c r="H31" i="39"/>
  <c r="AB31" i="39" s="1"/>
  <c r="F31" i="39"/>
  <c r="S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AC17" i="39"/>
  <c r="U17" i="39"/>
  <c r="Q17" i="39"/>
  <c r="Z17" i="39" s="1"/>
  <c r="J17" i="39"/>
  <c r="W17" i="39" s="1"/>
  <c r="H17" i="39"/>
  <c r="AB17" i="39" s="1"/>
  <c r="F17" i="39"/>
  <c r="AA17" i="39" s="1"/>
  <c r="Q15" i="39"/>
  <c r="Z15" i="39" s="1"/>
  <c r="J15" i="39"/>
  <c r="AC15" i="39" s="1"/>
  <c r="H15" i="39"/>
  <c r="F15" i="39"/>
  <c r="AA15" i="39" s="1"/>
  <c r="Q14" i="39"/>
  <c r="Z14" i="39" s="1"/>
  <c r="F14" i="39"/>
  <c r="AA14" i="39" s="1"/>
  <c r="Q13" i="39"/>
  <c r="Z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M85" i="36"/>
  <c r="D85" i="36"/>
  <c r="E85" i="36" s="1"/>
  <c r="F85" i="36" s="1"/>
  <c r="G85" i="36" s="1"/>
  <c r="H85" i="36" s="1"/>
  <c r="I85" i="36" s="1"/>
  <c r="J85" i="36" s="1"/>
  <c r="K85" i="36" s="1"/>
  <c r="L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I42" i="36"/>
  <c r="J42" i="36" s="1"/>
  <c r="G42" i="36"/>
  <c r="H42" i="36" s="1"/>
  <c r="F42" i="36"/>
  <c r="E42" i="36"/>
  <c r="P37" i="36"/>
  <c r="P36" i="36"/>
  <c r="K36" i="36"/>
  <c r="V35" i="36"/>
  <c r="T35" i="36"/>
  <c r="R35" i="36"/>
  <c r="P35" i="36"/>
  <c r="Q34" i="36"/>
  <c r="Z34" i="36" s="1"/>
  <c r="J34" i="36"/>
  <c r="AC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W28" i="36"/>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U23" i="36"/>
  <c r="Q23" i="36"/>
  <c r="Z23" i="36" s="1"/>
  <c r="J23" i="36"/>
  <c r="AC23" i="36" s="1"/>
  <c r="H23" i="36"/>
  <c r="AB23" i="36" s="1"/>
  <c r="F23" i="36"/>
  <c r="S23" i="36" s="1"/>
  <c r="Q22" i="36"/>
  <c r="Z22" i="36" s="1"/>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J12" i="36"/>
  <c r="F12" i="36"/>
  <c r="AA12" i="36" s="1"/>
  <c r="Z11" i="36"/>
  <c r="Q11" i="36"/>
  <c r="F11" i="36"/>
  <c r="S11" i="36" s="1"/>
  <c r="Q10" i="36"/>
  <c r="Z10" i="36" s="1"/>
  <c r="J10" i="36"/>
  <c r="H10" i="36"/>
  <c r="AB10" i="36" s="1"/>
  <c r="F10" i="36"/>
  <c r="S10" i="36" s="1"/>
  <c r="Q9" i="36"/>
  <c r="Z9" i="36" s="1"/>
  <c r="H9" i="36"/>
  <c r="AB8" i="36"/>
  <c r="U8" i="36"/>
  <c r="S8" i="36"/>
  <c r="J8" i="36"/>
  <c r="H8" i="36"/>
  <c r="F8" i="36"/>
  <c r="AA8" i="36" s="1"/>
  <c r="D3" i="36"/>
  <c r="B2" i="36"/>
  <c r="B101" i="35"/>
  <c r="B99" i="35"/>
  <c r="F35" i="35" s="1"/>
  <c r="B97" i="35"/>
  <c r="F34" i="35" s="1"/>
  <c r="G96" i="35"/>
  <c r="D96" i="35"/>
  <c r="E96" i="35" s="1"/>
  <c r="F96" i="35" s="1"/>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E72" i="35"/>
  <c r="F72" i="35" s="1"/>
  <c r="G72" i="35" s="1"/>
  <c r="D72" i="35"/>
  <c r="D70" i="35"/>
  <c r="E70" i="35" s="1"/>
  <c r="F70" i="35" s="1"/>
  <c r="G70" i="35" s="1"/>
  <c r="E68" i="35"/>
  <c r="F68" i="35" s="1"/>
  <c r="G68" i="35" s="1"/>
  <c r="D68" i="35"/>
  <c r="D66" i="35"/>
  <c r="E66" i="35" s="1"/>
  <c r="F66" i="35" s="1"/>
  <c r="G66" i="35" s="1"/>
  <c r="E64" i="35"/>
  <c r="F64" i="35" s="1"/>
  <c r="G64" i="35" s="1"/>
  <c r="D64" i="35"/>
  <c r="B61" i="35"/>
  <c r="J13" i="35" s="1"/>
  <c r="AC13" i="35" s="1"/>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Q35" i="35"/>
  <c r="Z35" i="35" s="1"/>
  <c r="J35" i="35"/>
  <c r="H35" i="35"/>
  <c r="Q34" i="35"/>
  <c r="Z34" i="35" s="1"/>
  <c r="J34" i="35"/>
  <c r="AC34" i="35" s="1"/>
  <c r="H34" i="35"/>
  <c r="U34" i="35" s="1"/>
  <c r="AB33" i="35"/>
  <c r="Q33" i="35"/>
  <c r="Z33" i="35" s="1"/>
  <c r="J33" i="35"/>
  <c r="H33" i="35"/>
  <c r="U33" i="35" s="1"/>
  <c r="F33" i="35"/>
  <c r="S33" i="35" s="1"/>
  <c r="Q32" i="35"/>
  <c r="Z32" i="35" s="1"/>
  <c r="J32" i="35"/>
  <c r="W32" i="35" s="1"/>
  <c r="H32" i="35"/>
  <c r="AB32" i="35" s="1"/>
  <c r="F32" i="35"/>
  <c r="AA32" i="35" s="1"/>
  <c r="U31" i="35"/>
  <c r="Q31" i="35"/>
  <c r="Z31" i="35" s="1"/>
  <c r="J31" i="35"/>
  <c r="AC31" i="35" s="1"/>
  <c r="H31" i="35"/>
  <c r="AB31" i="35" s="1"/>
  <c r="F31" i="35"/>
  <c r="AA31" i="35" s="1"/>
  <c r="Q30" i="35"/>
  <c r="Z30" i="35" s="1"/>
  <c r="J30" i="35"/>
  <c r="AC30" i="35" s="1"/>
  <c r="H30" i="35"/>
  <c r="AB30" i="35" s="1"/>
  <c r="F30" i="35"/>
  <c r="S30" i="35" s="1"/>
  <c r="Q29" i="35"/>
  <c r="Z29" i="35" s="1"/>
  <c r="J29" i="35"/>
  <c r="AC29" i="35" s="1"/>
  <c r="H29" i="35"/>
  <c r="AB29" i="35" s="1"/>
  <c r="F29" i="35"/>
  <c r="AA29" i="35" s="1"/>
  <c r="W28" i="35"/>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J25" i="35"/>
  <c r="AC25" i="35" s="1"/>
  <c r="H25" i="35"/>
  <c r="AB25" i="35" s="1"/>
  <c r="F25" i="35"/>
  <c r="S25" i="35" s="1"/>
  <c r="Q24" i="35"/>
  <c r="Z24" i="35" s="1"/>
  <c r="Q23" i="35"/>
  <c r="Z23" i="35" s="1"/>
  <c r="U22" i="35"/>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H13" i="35"/>
  <c r="AB13" i="35" s="1"/>
  <c r="F13" i="35"/>
  <c r="Q12" i="35"/>
  <c r="Z12" i="35" s="1"/>
  <c r="Q11" i="35"/>
  <c r="Z11" i="35" s="1"/>
  <c r="Q10" i="35"/>
  <c r="Z10" i="35" s="1"/>
  <c r="J10" i="35"/>
  <c r="AC10" i="35" s="1"/>
  <c r="H10" i="35"/>
  <c r="F10" i="35"/>
  <c r="AA10" i="35" s="1"/>
  <c r="Q9" i="35"/>
  <c r="Z9" i="35" s="1"/>
  <c r="J9" i="35"/>
  <c r="AC9" i="35" s="1"/>
  <c r="H9" i="35"/>
  <c r="AB9" i="35" s="1"/>
  <c r="F9" i="35"/>
  <c r="S9" i="35" s="1"/>
  <c r="J8" i="35"/>
  <c r="H8" i="35"/>
  <c r="F8" i="35"/>
  <c r="S8" i="35" s="1"/>
  <c r="D3" i="35"/>
  <c r="B2" i="35"/>
  <c r="B112" i="37"/>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H48" i="37"/>
  <c r="G48" i="37"/>
  <c r="E48" i="37"/>
  <c r="F48" i="37" s="1"/>
  <c r="P43" i="37"/>
  <c r="P42" i="37"/>
  <c r="K42" i="37"/>
  <c r="V41" i="37"/>
  <c r="T41" i="37"/>
  <c r="R41" i="37"/>
  <c r="P41" i="37"/>
  <c r="Q40" i="37"/>
  <c r="Z40" i="37" s="1"/>
  <c r="H40" i="37"/>
  <c r="U40" i="37" s="1"/>
  <c r="Q39" i="37"/>
  <c r="Z39" i="37" s="1"/>
  <c r="H39" i="37"/>
  <c r="AB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U32" i="37"/>
  <c r="Q32" i="37"/>
  <c r="Z32" i="37" s="1"/>
  <c r="J32" i="37"/>
  <c r="W32" i="37" s="1"/>
  <c r="H32" i="37"/>
  <c r="AB32" i="37" s="1"/>
  <c r="F32" i="37"/>
  <c r="AA32" i="37" s="1"/>
  <c r="Q31" i="37"/>
  <c r="Z31" i="37" s="1"/>
  <c r="J31" i="37"/>
  <c r="AC31" i="37" s="1"/>
  <c r="H31" i="37"/>
  <c r="U31" i="37" s="1"/>
  <c r="F31" i="37"/>
  <c r="S31" i="37" s="1"/>
  <c r="AA30" i="37"/>
  <c r="Z30" i="37"/>
  <c r="Q30" i="37"/>
  <c r="J30" i="37"/>
  <c r="AC30" i="37" s="1"/>
  <c r="H30" i="37"/>
  <c r="AB30" i="37" s="1"/>
  <c r="F30" i="37"/>
  <c r="S30" i="37" s="1"/>
  <c r="Q29" i="37"/>
  <c r="Z29" i="37" s="1"/>
  <c r="J29" i="37"/>
  <c r="H29" i="37"/>
  <c r="AB29" i="37" s="1"/>
  <c r="F29" i="37"/>
  <c r="AA29" i="37" s="1"/>
  <c r="W28" i="37"/>
  <c r="Q28" i="37"/>
  <c r="Z28" i="37" s="1"/>
  <c r="J28" i="37"/>
  <c r="AC28" i="37" s="1"/>
  <c r="H28" i="37"/>
  <c r="U28" i="37" s="1"/>
  <c r="F28" i="37"/>
  <c r="AA28" i="37" s="1"/>
  <c r="Q27" i="37"/>
  <c r="Z27" i="37" s="1"/>
  <c r="Q26" i="37"/>
  <c r="Z26" i="37" s="1"/>
  <c r="H26" i="37"/>
  <c r="AB26" i="37" s="1"/>
  <c r="F26" i="37"/>
  <c r="AA26" i="37" s="1"/>
  <c r="Z25" i="37"/>
  <c r="Q25" i="37"/>
  <c r="AC23" i="37"/>
  <c r="Q23" i="37"/>
  <c r="Z23" i="37" s="1"/>
  <c r="J23" i="37"/>
  <c r="W23" i="37" s="1"/>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AC15" i="37"/>
  <c r="Q15" i="37"/>
  <c r="Z15" i="37" s="1"/>
  <c r="J15" i="37"/>
  <c r="W15" i="37" s="1"/>
  <c r="H15" i="37"/>
  <c r="F15" i="37"/>
  <c r="AA15" i="37" s="1"/>
  <c r="C15" i="37"/>
  <c r="Q14" i="37"/>
  <c r="Z14" i="37" s="1"/>
  <c r="Q13" i="37"/>
  <c r="Z13" i="37" s="1"/>
  <c r="H13" i="37"/>
  <c r="U13" i="37" s="1"/>
  <c r="F13" i="37"/>
  <c r="AA13" i="37" s="1"/>
  <c r="W12" i="37"/>
  <c r="Q12" i="37"/>
  <c r="Z12" i="37" s="1"/>
  <c r="J12" i="37"/>
  <c r="AC12" i="37" s="1"/>
  <c r="Z11" i="37"/>
  <c r="Q11" i="37"/>
  <c r="J11" i="37"/>
  <c r="W11" i="37" s="1"/>
  <c r="H11" i="37"/>
  <c r="U11" i="37" s="1"/>
  <c r="F11" i="37"/>
  <c r="AA11" i="37" s="1"/>
  <c r="AC10" i="37"/>
  <c r="Q10" i="37"/>
  <c r="Z10" i="37" s="1"/>
  <c r="J10" i="37"/>
  <c r="W10" i="37" s="1"/>
  <c r="H10" i="37"/>
  <c r="F10" i="37"/>
  <c r="AA10" i="37" s="1"/>
  <c r="Q9" i="37"/>
  <c r="Z9" i="37" s="1"/>
  <c r="J9" i="37"/>
  <c r="AC9" i="37" s="1"/>
  <c r="H9" i="37"/>
  <c r="AB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D12" i="31"/>
  <c r="E12" i="31" s="1"/>
  <c r="F12" i="31" s="1"/>
  <c r="G12" i="31" s="1"/>
  <c r="H12" i="31" s="1"/>
  <c r="I12" i="31" s="1"/>
  <c r="J12" i="31" s="1"/>
  <c r="E10" i="31"/>
  <c r="F10" i="31" s="1"/>
  <c r="G10" i="31" s="1"/>
  <c r="H10" i="31" s="1"/>
  <c r="I10" i="31" s="1"/>
  <c r="J10" i="31" s="1"/>
  <c r="K10" i="31" s="1"/>
  <c r="L10" i="31" s="1"/>
  <c r="M10" i="31" s="1"/>
  <c r="N10" i="31" s="1"/>
  <c r="O10" i="31" s="1"/>
  <c r="P10" i="31" s="1"/>
  <c r="Q10" i="31" s="1"/>
  <c r="R10" i="31" s="1"/>
  <c r="S10" i="31" s="1"/>
  <c r="D10" i="31"/>
  <c r="N8" i="31"/>
  <c r="O8" i="31" s="1"/>
  <c r="P8" i="31" s="1"/>
  <c r="Q8" i="31" s="1"/>
  <c r="R8" i="31" s="1"/>
  <c r="S8" i="31" s="1"/>
  <c r="D8" i="31"/>
  <c r="E8" i="31" s="1"/>
  <c r="F8" i="31" s="1"/>
  <c r="G8" i="31" s="1"/>
  <c r="H8" i="31" s="1"/>
  <c r="I8" i="31" s="1"/>
  <c r="J8" i="31" s="1"/>
  <c r="K8" i="31" s="1"/>
  <c r="L8" i="31" s="1"/>
  <c r="M8" i="31" s="1"/>
  <c r="F6" i="31"/>
  <c r="G6" i="31" s="1"/>
  <c r="H6" i="31" s="1"/>
  <c r="I6" i="31" s="1"/>
  <c r="J6" i="31" s="1"/>
  <c r="K6" i="31" s="1"/>
  <c r="L6" i="31" s="1"/>
  <c r="M6" i="31" s="1"/>
  <c r="N6" i="31" s="1"/>
  <c r="O6" i="31" s="1"/>
  <c r="P6" i="31" s="1"/>
  <c r="Q6" i="31" s="1"/>
  <c r="R6" i="31" s="1"/>
  <c r="S6" i="31" s="1"/>
  <c r="T5" i="31"/>
  <c r="D6" i="31" s="1"/>
  <c r="E6" i="31" s="1"/>
  <c r="F5" i="31"/>
  <c r="E5" i="31"/>
  <c r="D5" i="31"/>
  <c r="C5" i="31"/>
  <c r="C4" i="31"/>
  <c r="F3" i="31"/>
  <c r="F2" i="31" s="1"/>
  <c r="E3" i="31"/>
  <c r="D3" i="31"/>
  <c r="C3" i="31"/>
  <c r="S2" i="31"/>
  <c r="R2" i="31"/>
  <c r="Q2" i="31"/>
  <c r="P2" i="31"/>
  <c r="O2" i="31"/>
  <c r="N2" i="31"/>
  <c r="M2" i="31"/>
  <c r="L2" i="31"/>
  <c r="K2" i="31"/>
  <c r="J2" i="31"/>
  <c r="I2" i="31"/>
  <c r="H2" i="31"/>
  <c r="G2" i="31"/>
  <c r="B130" i="33"/>
  <c r="B128" i="33"/>
  <c r="B126" i="33"/>
  <c r="H44" i="33" s="1"/>
  <c r="AB44" i="33" s="1"/>
  <c r="D125" i="33"/>
  <c r="E125" i="33" s="1"/>
  <c r="F125" i="33" s="1"/>
  <c r="G125" i="33" s="1"/>
  <c r="J123" i="33"/>
  <c r="K123" i="33" s="1"/>
  <c r="L123" i="33" s="1"/>
  <c r="M123" i="33" s="1"/>
  <c r="D123" i="33"/>
  <c r="E123" i="33" s="1"/>
  <c r="F123" i="33" s="1"/>
  <c r="G123" i="33" s="1"/>
  <c r="H123" i="33" s="1"/>
  <c r="I123" i="33" s="1"/>
  <c r="K121" i="33"/>
  <c r="L121" i="33" s="1"/>
  <c r="M121" i="33" s="1"/>
  <c r="D121" i="33"/>
  <c r="E121" i="33" s="1"/>
  <c r="F121" i="33" s="1"/>
  <c r="G121" i="33" s="1"/>
  <c r="H121" i="33" s="1"/>
  <c r="I121" i="33" s="1"/>
  <c r="J121" i="33" s="1"/>
  <c r="D117" i="33"/>
  <c r="E117" i="33" s="1"/>
  <c r="F117" i="33" s="1"/>
  <c r="G117" i="33" s="1"/>
  <c r="D115" i="33"/>
  <c r="E115" i="33" s="1"/>
  <c r="F115" i="33" s="1"/>
  <c r="G115" i="33" s="1"/>
  <c r="H115" i="33" s="1"/>
  <c r="I115" i="33" s="1"/>
  <c r="J115" i="33" s="1"/>
  <c r="K115" i="33" s="1"/>
  <c r="L115" i="33" s="1"/>
  <c r="M115" i="33" s="1"/>
  <c r="H113" i="33"/>
  <c r="I113" i="33" s="1"/>
  <c r="J113" i="33" s="1"/>
  <c r="K113" i="33" s="1"/>
  <c r="L113" i="33" s="1"/>
  <c r="M113" i="33" s="1"/>
  <c r="D113" i="33"/>
  <c r="E113" i="33" s="1"/>
  <c r="F113" i="33" s="1"/>
  <c r="G113" i="33" s="1"/>
  <c r="E111" i="33"/>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E85" i="33"/>
  <c r="D85" i="33"/>
  <c r="D83" i="33"/>
  <c r="E83" i="33" s="1"/>
  <c r="F83" i="33" s="1"/>
  <c r="G83" i="33" s="1"/>
  <c r="E81" i="33"/>
  <c r="F81" i="33" s="1"/>
  <c r="G81" i="33" s="1"/>
  <c r="D81" i="33"/>
  <c r="D79" i="33"/>
  <c r="D77" i="33"/>
  <c r="E77" i="33" s="1"/>
  <c r="F77" i="33" s="1"/>
  <c r="B74" i="33"/>
  <c r="F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Z45" i="33"/>
  <c r="Q45" i="33"/>
  <c r="H45" i="33"/>
  <c r="Q44" i="33"/>
  <c r="Z44" i="33" s="1"/>
  <c r="Q43" i="33"/>
  <c r="Z43" i="33" s="1"/>
  <c r="J43" i="33"/>
  <c r="AC43" i="33" s="1"/>
  <c r="F43" i="33"/>
  <c r="S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H36" i="33"/>
  <c r="U36" i="33" s="1"/>
  <c r="F36" i="33"/>
  <c r="AA36" i="33" s="1"/>
  <c r="Z35" i="33"/>
  <c r="Q35" i="33"/>
  <c r="J35" i="33"/>
  <c r="AC35" i="33" s="1"/>
  <c r="H35" i="33"/>
  <c r="U35" i="33" s="1"/>
  <c r="F35" i="33"/>
  <c r="AA35" i="33" s="1"/>
  <c r="Q34" i="33"/>
  <c r="Z34" i="33" s="1"/>
  <c r="J34" i="33"/>
  <c r="H34" i="33"/>
  <c r="AB34" i="33" s="1"/>
  <c r="F34" i="33"/>
  <c r="S34" i="33" s="1"/>
  <c r="Q33" i="33"/>
  <c r="Z33" i="33" s="1"/>
  <c r="J33" i="33"/>
  <c r="H33" i="33"/>
  <c r="U33" i="33" s="1"/>
  <c r="F33" i="33"/>
  <c r="AA33" i="33" s="1"/>
  <c r="Q32" i="33"/>
  <c r="Z32" i="33" s="1"/>
  <c r="Z31" i="33"/>
  <c r="Q31" i="33"/>
  <c r="Q30" i="33"/>
  <c r="Z30" i="33" s="1"/>
  <c r="Q29" i="33"/>
  <c r="Z29" i="33" s="1"/>
  <c r="Q28" i="33"/>
  <c r="Z28" i="33" s="1"/>
  <c r="Q27" i="33"/>
  <c r="Z27" i="33" s="1"/>
  <c r="Q26" i="33"/>
  <c r="Z26" i="33" s="1"/>
  <c r="Z25" i="33"/>
  <c r="Q25" i="33"/>
  <c r="J25" i="33"/>
  <c r="W25" i="33" s="1"/>
  <c r="F25" i="33"/>
  <c r="AA25" i="33" s="1"/>
  <c r="Q23" i="33"/>
  <c r="Z23" i="33" s="1"/>
  <c r="J23" i="33"/>
  <c r="H23" i="33"/>
  <c r="C23" i="33"/>
  <c r="Q21" i="33"/>
  <c r="Z21" i="33" s="1"/>
  <c r="J21" i="33"/>
  <c r="W21" i="33" s="1"/>
  <c r="H21" i="33"/>
  <c r="AB21" i="33" s="1"/>
  <c r="F21" i="33"/>
  <c r="S21" i="33" s="1"/>
  <c r="C21" i="33"/>
  <c r="Q19" i="33"/>
  <c r="Z19" i="33" s="1"/>
  <c r="J19" i="33"/>
  <c r="W19" i="33" s="1"/>
  <c r="H19" i="33"/>
  <c r="AB19" i="33" s="1"/>
  <c r="F19" i="33"/>
  <c r="AA19" i="33" s="1"/>
  <c r="C19" i="33"/>
  <c r="Q17" i="33"/>
  <c r="Z17" i="33" s="1"/>
  <c r="C17" i="33"/>
  <c r="Q15" i="33"/>
  <c r="Z15" i="33" s="1"/>
  <c r="C15" i="33"/>
  <c r="Q14" i="33"/>
  <c r="Z14" i="33" s="1"/>
  <c r="J14" i="33"/>
  <c r="AC14" i="33" s="1"/>
  <c r="H14" i="33"/>
  <c r="Z13" i="33"/>
  <c r="Q13" i="33"/>
  <c r="F13" i="33"/>
  <c r="Q12" i="33"/>
  <c r="Z12" i="33" s="1"/>
  <c r="Q11" i="33"/>
  <c r="Z11" i="33" s="1"/>
  <c r="J11" i="33"/>
  <c r="H11" i="33"/>
  <c r="U11" i="33" s="1"/>
  <c r="F11" i="33"/>
  <c r="AA11" i="33" s="1"/>
  <c r="Q10" i="33"/>
  <c r="Z10" i="33" s="1"/>
  <c r="J10" i="33"/>
  <c r="W10" i="33" s="1"/>
  <c r="H10" i="33"/>
  <c r="F10" i="33"/>
  <c r="AA10" i="33" s="1"/>
  <c r="Z9" i="33"/>
  <c r="Q9" i="33"/>
  <c r="F9" i="33"/>
  <c r="J8" i="33"/>
  <c r="AC8" i="33" s="1"/>
  <c r="H8" i="33"/>
  <c r="AB8" i="33" s="1"/>
  <c r="F8" i="33"/>
  <c r="C145" i="21"/>
  <c r="K139" i="21" s="1"/>
  <c r="J142" i="21"/>
  <c r="J140" i="21"/>
  <c r="B130" i="21"/>
  <c r="B128" i="21"/>
  <c r="B126" i="21"/>
  <c r="J44" i="21" s="1"/>
  <c r="W44" i="21" s="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D108" i="21"/>
  <c r="E108" i="21" s="1"/>
  <c r="F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J27" i="21" s="1"/>
  <c r="AC27" i="21" s="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D83" i="21"/>
  <c r="E83" i="21" s="1"/>
  <c r="F83" i="21" s="1"/>
  <c r="G83" i="21" s="1"/>
  <c r="E81" i="21"/>
  <c r="F81" i="21" s="1"/>
  <c r="G81" i="21" s="1"/>
  <c r="D81" i="21"/>
  <c r="E79" i="21"/>
  <c r="F79" i="21" s="1"/>
  <c r="G79" i="21" s="1"/>
  <c r="D79" i="21"/>
  <c r="E77" i="21"/>
  <c r="F77" i="21" s="1"/>
  <c r="G77" i="21" s="1"/>
  <c r="D77" i="2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Q46" i="21"/>
  <c r="Z46" i="21" s="1"/>
  <c r="F46" i="21"/>
  <c r="Z45" i="21"/>
  <c r="Q45" i="21"/>
  <c r="U44" i="21"/>
  <c r="Q44" i="21"/>
  <c r="Z44" i="21" s="1"/>
  <c r="H44" i="21"/>
  <c r="AB44" i="21" s="1"/>
  <c r="F44" i="21"/>
  <c r="S44" i="21" s="1"/>
  <c r="AB43" i="21"/>
  <c r="Q43" i="21"/>
  <c r="Z43" i="21" s="1"/>
  <c r="J43" i="21"/>
  <c r="AC43" i="21" s="1"/>
  <c r="H43" i="21"/>
  <c r="U43" i="21" s="1"/>
  <c r="F43" i="21"/>
  <c r="S43" i="21" s="1"/>
  <c r="AA42" i="21"/>
  <c r="W42" i="21"/>
  <c r="Q42" i="21"/>
  <c r="Z42" i="21" s="1"/>
  <c r="J42" i="21"/>
  <c r="AC42" i="21" s="1"/>
  <c r="H42" i="21"/>
  <c r="AB42" i="21" s="1"/>
  <c r="F42" i="21"/>
  <c r="S42" i="21" s="1"/>
  <c r="W41" i="21"/>
  <c r="Q41" i="21"/>
  <c r="Z41" i="21" s="1"/>
  <c r="J41" i="21"/>
  <c r="AC41" i="21" s="1"/>
  <c r="H41" i="21"/>
  <c r="F41" i="21"/>
  <c r="AA41" i="21" s="1"/>
  <c r="AB40" i="21"/>
  <c r="W40" i="21"/>
  <c r="Q40" i="21"/>
  <c r="Z40" i="21" s="1"/>
  <c r="J40" i="21"/>
  <c r="AC40" i="21" s="1"/>
  <c r="H40" i="21"/>
  <c r="U40" i="21" s="1"/>
  <c r="F40" i="21"/>
  <c r="AB39" i="21"/>
  <c r="Q39" i="21"/>
  <c r="Z39" i="21" s="1"/>
  <c r="J39" i="21"/>
  <c r="AC39" i="21" s="1"/>
  <c r="H39" i="21"/>
  <c r="U39" i="21" s="1"/>
  <c r="F39" i="21"/>
  <c r="AA39" i="21" s="1"/>
  <c r="W38" i="21"/>
  <c r="Q38" i="21"/>
  <c r="Z38" i="21" s="1"/>
  <c r="J38" i="21"/>
  <c r="AC38" i="21" s="1"/>
  <c r="H38" i="21"/>
  <c r="AB38" i="21" s="1"/>
  <c r="F38" i="21"/>
  <c r="AA38" i="21" s="1"/>
  <c r="Z37" i="21"/>
  <c r="Q37" i="21"/>
  <c r="J37" i="21"/>
  <c r="H37" i="21"/>
  <c r="F37" i="21"/>
  <c r="AA37" i="21" s="1"/>
  <c r="Q36" i="21"/>
  <c r="Z36" i="21" s="1"/>
  <c r="J36" i="21"/>
  <c r="W36" i="21" s="1"/>
  <c r="H36" i="21"/>
  <c r="U36" i="21" s="1"/>
  <c r="F36" i="21"/>
  <c r="S36" i="21" s="1"/>
  <c r="Z35" i="21"/>
  <c r="Q35" i="21"/>
  <c r="J35" i="21"/>
  <c r="AC35" i="21" s="1"/>
  <c r="H35" i="21"/>
  <c r="F35" i="21"/>
  <c r="AA35" i="21" s="1"/>
  <c r="W34" i="21"/>
  <c r="Q34" i="21"/>
  <c r="Z34" i="21" s="1"/>
  <c r="J34" i="21"/>
  <c r="AC34" i="21" s="1"/>
  <c r="H34" i="21"/>
  <c r="AB34" i="21" s="1"/>
  <c r="F34" i="21"/>
  <c r="S34" i="21" s="1"/>
  <c r="U33" i="21"/>
  <c r="Q33" i="21"/>
  <c r="Z33" i="21" s="1"/>
  <c r="J33" i="21"/>
  <c r="H33" i="21"/>
  <c r="AB33" i="21" s="1"/>
  <c r="F33" i="21"/>
  <c r="AA33" i="21" s="1"/>
  <c r="Q32" i="21"/>
  <c r="Z32" i="21" s="1"/>
  <c r="J32" i="21"/>
  <c r="H32" i="21"/>
  <c r="AB32" i="21" s="1"/>
  <c r="F32" i="21"/>
  <c r="AA32" i="21" s="1"/>
  <c r="AA31" i="21"/>
  <c r="Z31" i="21"/>
  <c r="Q31" i="21"/>
  <c r="J31" i="21"/>
  <c r="AC31" i="21" s="1"/>
  <c r="H31" i="21"/>
  <c r="F31" i="21"/>
  <c r="S31" i="21" s="1"/>
  <c r="Q30" i="21"/>
  <c r="Z30" i="21" s="1"/>
  <c r="Z29" i="21"/>
  <c r="Q29" i="21"/>
  <c r="J29" i="21"/>
  <c r="H29" i="21"/>
  <c r="U29" i="21" s="1"/>
  <c r="S28" i="21"/>
  <c r="Q28" i="21"/>
  <c r="Z28" i="21" s="1"/>
  <c r="H28" i="21"/>
  <c r="F28" i="21"/>
  <c r="AA28" i="21" s="1"/>
  <c r="Q27" i="21"/>
  <c r="Z27" i="21" s="1"/>
  <c r="H27" i="21"/>
  <c r="U27" i="21" s="1"/>
  <c r="F27" i="21"/>
  <c r="AA27" i="21" s="1"/>
  <c r="AA26" i="21"/>
  <c r="Q26" i="21"/>
  <c r="Z26" i="21" s="1"/>
  <c r="J26" i="21"/>
  <c r="H26" i="21"/>
  <c r="AB26" i="21" s="1"/>
  <c r="F26" i="21"/>
  <c r="S26" i="21" s="1"/>
  <c r="Z25" i="21"/>
  <c r="Q25" i="21"/>
  <c r="J25" i="21"/>
  <c r="H25" i="21"/>
  <c r="U25" i="21" s="1"/>
  <c r="F25" i="21"/>
  <c r="AA25" i="21" s="1"/>
  <c r="Q23" i="21"/>
  <c r="Z23" i="21" s="1"/>
  <c r="J23" i="21"/>
  <c r="H23" i="21"/>
  <c r="AB23" i="21" s="1"/>
  <c r="F23" i="21"/>
  <c r="AA23" i="21" s="1"/>
  <c r="C23" i="21"/>
  <c r="Q21" i="21"/>
  <c r="Z21" i="21" s="1"/>
  <c r="J21" i="21"/>
  <c r="AC21" i="21" s="1"/>
  <c r="H21" i="21"/>
  <c r="AB21" i="21" s="1"/>
  <c r="F21" i="21"/>
  <c r="S21" i="21" s="1"/>
  <c r="C21" i="21"/>
  <c r="AB19" i="21"/>
  <c r="Q19" i="21"/>
  <c r="Z19" i="21" s="1"/>
  <c r="J19" i="21"/>
  <c r="H19" i="21"/>
  <c r="U19" i="21" s="1"/>
  <c r="F19" i="21"/>
  <c r="AA19" i="21" s="1"/>
  <c r="C19" i="21"/>
  <c r="AC17" i="21"/>
  <c r="Q17" i="21"/>
  <c r="Z17" i="21" s="1"/>
  <c r="J17" i="21"/>
  <c r="W17" i="21" s="1"/>
  <c r="H17" i="21"/>
  <c r="F17" i="21"/>
  <c r="AA17" i="21" s="1"/>
  <c r="C17" i="21"/>
  <c r="AA15" i="21"/>
  <c r="Q15" i="21"/>
  <c r="Z15" i="21" s="1"/>
  <c r="J15" i="21"/>
  <c r="H15" i="21"/>
  <c r="U15" i="21" s="1"/>
  <c r="F15" i="21"/>
  <c r="S15" i="21" s="1"/>
  <c r="C15" i="21"/>
  <c r="Q14" i="21"/>
  <c r="Z14" i="21" s="1"/>
  <c r="H14" i="21"/>
  <c r="Q13" i="21"/>
  <c r="Z13" i="21" s="1"/>
  <c r="H13" i="21"/>
  <c r="Q12" i="21"/>
  <c r="Z12" i="21" s="1"/>
  <c r="U11" i="21"/>
  <c r="Q11" i="21"/>
  <c r="Z11" i="21" s="1"/>
  <c r="J11" i="21"/>
  <c r="H11" i="21"/>
  <c r="AB11" i="21" s="1"/>
  <c r="F11" i="21"/>
  <c r="AA11" i="21" s="1"/>
  <c r="AC10" i="21"/>
  <c r="Q10" i="21"/>
  <c r="Z10" i="21" s="1"/>
  <c r="J10" i="21"/>
  <c r="W10" i="21" s="1"/>
  <c r="H10" i="21"/>
  <c r="AB10" i="21" s="1"/>
  <c r="F10" i="21"/>
  <c r="AA10" i="21" s="1"/>
  <c r="Q9" i="21"/>
  <c r="Z9" i="21" s="1"/>
  <c r="H9" i="21"/>
  <c r="F9" i="21"/>
  <c r="U8" i="21"/>
  <c r="J8" i="21"/>
  <c r="H8" i="21"/>
  <c r="AB8" i="21" s="1"/>
  <c r="F8" i="21"/>
  <c r="B2" i="21"/>
  <c r="A13" i="70"/>
  <c r="E13" i="70" s="1"/>
  <c r="E12" i="70"/>
  <c r="A12" i="70"/>
  <c r="A11" i="70"/>
  <c r="E11" i="70" s="1"/>
  <c r="E10" i="70"/>
  <c r="A10" i="70"/>
  <c r="A9" i="70"/>
  <c r="E9" i="70" s="1"/>
  <c r="A8" i="70"/>
  <c r="E8" i="70" s="1"/>
  <c r="A7" i="70"/>
  <c r="E7" i="70" s="1"/>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R14" i="77" s="1"/>
  <c r="R25" i="77" s="1"/>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B129" i="34"/>
  <c r="J46" i="34" s="1"/>
  <c r="B127" i="34"/>
  <c r="D126" i="34"/>
  <c r="D124" i="34"/>
  <c r="E124" i="34" s="1"/>
  <c r="H43" i="34" s="1"/>
  <c r="U43" i="34" s="1"/>
  <c r="H120" i="34"/>
  <c r="I120" i="34" s="1"/>
  <c r="J120" i="34" s="1"/>
  <c r="K120" i="34" s="1"/>
  <c r="L120" i="34" s="1"/>
  <c r="M120" i="34" s="1"/>
  <c r="D120" i="34"/>
  <c r="E120" i="34" s="1"/>
  <c r="F120" i="34" s="1"/>
  <c r="G120" i="34" s="1"/>
  <c r="D118" i="34"/>
  <c r="J40"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F31" i="34" s="1"/>
  <c r="B95" i="34"/>
  <c r="F30" i="34" s="1"/>
  <c r="AA30" i="34" s="1"/>
  <c r="B93" i="34"/>
  <c r="D92" i="34"/>
  <c r="E92" i="34" s="1"/>
  <c r="F92" i="34" s="1"/>
  <c r="G92" i="34" s="1"/>
  <c r="H92" i="34" s="1"/>
  <c r="I92" i="34" s="1"/>
  <c r="J92" i="34" s="1"/>
  <c r="K92" i="34" s="1"/>
  <c r="L92" i="34" s="1"/>
  <c r="M92" i="34" s="1"/>
  <c r="B91" i="34"/>
  <c r="H28" i="34" s="1"/>
  <c r="D90" i="34"/>
  <c r="E90" i="34" s="1"/>
  <c r="B89" i="34"/>
  <c r="F27" i="34" s="1"/>
  <c r="AA27" i="34" s="1"/>
  <c r="F88" i="34"/>
  <c r="G88" i="34" s="1"/>
  <c r="H88" i="34" s="1"/>
  <c r="I88" i="34" s="1"/>
  <c r="J88" i="34" s="1"/>
  <c r="K88" i="34" s="1"/>
  <c r="L88" i="34" s="1"/>
  <c r="M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F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AC47" i="34"/>
  <c r="AB47" i="34"/>
  <c r="Q47" i="34"/>
  <c r="Z47" i="34" s="1"/>
  <c r="J47" i="34"/>
  <c r="W47" i="34" s="1"/>
  <c r="H47" i="34"/>
  <c r="U47" i="34" s="1"/>
  <c r="F47" i="34"/>
  <c r="AA47" i="34" s="1"/>
  <c r="Z46" i="34"/>
  <c r="Q46" i="34"/>
  <c r="F46" i="34"/>
  <c r="Z45" i="34"/>
  <c r="Q45" i="34"/>
  <c r="Q44" i="34"/>
  <c r="Z44" i="34" s="1"/>
  <c r="Q43" i="34"/>
  <c r="Z43" i="34" s="1"/>
  <c r="J43" i="34"/>
  <c r="AC43" i="34" s="1"/>
  <c r="F43" i="34"/>
  <c r="AA43" i="34" s="1"/>
  <c r="W42" i="34"/>
  <c r="Q42" i="34"/>
  <c r="Z42" i="34" s="1"/>
  <c r="J42" i="34"/>
  <c r="AC42" i="34" s="1"/>
  <c r="H42" i="34"/>
  <c r="F42" i="34"/>
  <c r="AA42" i="34" s="1"/>
  <c r="AC41" i="34"/>
  <c r="Q41" i="34"/>
  <c r="Z41" i="34" s="1"/>
  <c r="J41" i="34"/>
  <c r="W41" i="34" s="1"/>
  <c r="H41" i="34"/>
  <c r="U41" i="34" s="1"/>
  <c r="F41" i="34"/>
  <c r="AA41" i="34" s="1"/>
  <c r="Z40" i="34"/>
  <c r="S40" i="34"/>
  <c r="Q40" i="34"/>
  <c r="H40" i="34"/>
  <c r="AB40" i="34" s="1"/>
  <c r="F40" i="34"/>
  <c r="AA40" i="34" s="1"/>
  <c r="AC39" i="34"/>
  <c r="Q39" i="34"/>
  <c r="Z39" i="34" s="1"/>
  <c r="J39" i="34"/>
  <c r="W39" i="34" s="1"/>
  <c r="H39" i="34"/>
  <c r="AB39" i="34" s="1"/>
  <c r="F39" i="34"/>
  <c r="AA39" i="34" s="1"/>
  <c r="Z38" i="34"/>
  <c r="W38" i="34"/>
  <c r="Q38" i="34"/>
  <c r="J38" i="34"/>
  <c r="AC38" i="34" s="1"/>
  <c r="H38" i="34"/>
  <c r="F38" i="34"/>
  <c r="AA38" i="34" s="1"/>
  <c r="Q37" i="34"/>
  <c r="Z37" i="34" s="1"/>
  <c r="Z36" i="34"/>
  <c r="W36" i="34"/>
  <c r="Q36" i="34"/>
  <c r="J36" i="34"/>
  <c r="AC36" i="34" s="1"/>
  <c r="H36" i="34"/>
  <c r="AB36" i="34" s="1"/>
  <c r="F36" i="34"/>
  <c r="AA36" i="34" s="1"/>
  <c r="W35" i="34"/>
  <c r="Q35" i="34"/>
  <c r="Z35" i="34" s="1"/>
  <c r="J35" i="34"/>
  <c r="AC35" i="34" s="1"/>
  <c r="H35" i="34"/>
  <c r="F35" i="34"/>
  <c r="AA35" i="34" s="1"/>
  <c r="Q34" i="34"/>
  <c r="Z34" i="34" s="1"/>
  <c r="AC33" i="34"/>
  <c r="W33" i="34"/>
  <c r="Q33" i="34"/>
  <c r="Z33" i="34" s="1"/>
  <c r="J33" i="34"/>
  <c r="H33" i="34"/>
  <c r="AB33" i="34" s="1"/>
  <c r="F33" i="34"/>
  <c r="AA33" i="34" s="1"/>
  <c r="Z32" i="34"/>
  <c r="Q32" i="34"/>
  <c r="J32" i="34"/>
  <c r="Q31" i="34"/>
  <c r="Z31" i="34" s="1"/>
  <c r="H31" i="34"/>
  <c r="U31" i="34" s="1"/>
  <c r="Q30" i="34"/>
  <c r="Z30" i="34" s="1"/>
  <c r="J30" i="34"/>
  <c r="AC30" i="34" s="1"/>
  <c r="H30" i="34"/>
  <c r="Q29" i="34"/>
  <c r="Z29" i="34" s="1"/>
  <c r="W28" i="34"/>
  <c r="Q28" i="34"/>
  <c r="Z28" i="34" s="1"/>
  <c r="J28" i="34"/>
  <c r="AC28" i="34" s="1"/>
  <c r="Q27" i="34"/>
  <c r="Z27" i="34" s="1"/>
  <c r="AA25" i="34"/>
  <c r="Q25" i="34"/>
  <c r="Z25" i="34" s="1"/>
  <c r="J25" i="34"/>
  <c r="W25" i="34" s="1"/>
  <c r="H25" i="34"/>
  <c r="AB25" i="34" s="1"/>
  <c r="F25" i="34"/>
  <c r="S25" i="34" s="1"/>
  <c r="Q23" i="34"/>
  <c r="Z23" i="34" s="1"/>
  <c r="C23" i="34"/>
  <c r="Q21" i="34"/>
  <c r="Z21" i="34" s="1"/>
  <c r="J21" i="34"/>
  <c r="H21" i="34"/>
  <c r="U21" i="34" s="1"/>
  <c r="F21" i="34"/>
  <c r="AA21" i="34" s="1"/>
  <c r="C21" i="34"/>
  <c r="U19" i="34"/>
  <c r="Q19" i="34"/>
  <c r="Z19" i="34" s="1"/>
  <c r="J19" i="34"/>
  <c r="W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Q13" i="34"/>
  <c r="Z13" i="34" s="1"/>
  <c r="J13" i="34"/>
  <c r="AC13" i="34" s="1"/>
  <c r="Q12" i="34"/>
  <c r="Z12" i="34" s="1"/>
  <c r="H12" i="34"/>
  <c r="U12" i="34" s="1"/>
  <c r="AA11" i="34"/>
  <c r="W11" i="34"/>
  <c r="Q11" i="34"/>
  <c r="Z11" i="34" s="1"/>
  <c r="J11" i="34"/>
  <c r="AC11" i="34" s="1"/>
  <c r="H11" i="34"/>
  <c r="AB11" i="34" s="1"/>
  <c r="F11" i="34"/>
  <c r="S11" i="34" s="1"/>
  <c r="Q10" i="34"/>
  <c r="Z10" i="34" s="1"/>
  <c r="Q9" i="34"/>
  <c r="Z9" i="34" s="1"/>
  <c r="S8" i="34"/>
  <c r="J8" i="34"/>
  <c r="AC8" i="34" s="1"/>
  <c r="H8" i="34"/>
  <c r="U8" i="34" s="1"/>
  <c r="F8" i="34"/>
  <c r="AA8" i="34" s="1"/>
  <c r="Q72" i="15"/>
  <c r="F61" i="15"/>
  <c r="Q59" i="15"/>
  <c r="K59" i="15"/>
  <c r="P61" i="15" s="1"/>
  <c r="Q58" i="15"/>
  <c r="Q51" i="15"/>
  <c r="J50" i="15"/>
  <c r="J51" i="15" s="1"/>
  <c r="M47" i="15"/>
  <c r="D46" i="15"/>
  <c r="F33" i="15"/>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C5" i="68" s="1"/>
  <c r="F7" i="68"/>
  <c r="C7" i="68" s="1"/>
  <c r="A120" i="9"/>
  <c r="E111" i="9"/>
  <c r="A126" i="9" s="1"/>
  <c r="A12" i="52" s="1"/>
  <c r="B56" i="72" s="1"/>
  <c r="E109" i="9"/>
  <c r="H109" i="9" s="1"/>
  <c r="E107" i="9"/>
  <c r="A122" i="9" s="1"/>
  <c r="H106" i="9"/>
  <c r="H105" i="9"/>
  <c r="H104" i="9"/>
  <c r="D101" i="9"/>
  <c r="C101"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D7" i="74" s="1"/>
  <c r="B2" i="74"/>
  <c r="C24" i="20"/>
  <c r="C22" i="20"/>
  <c r="C21" i="20"/>
  <c r="G20" i="20"/>
  <c r="C20" i="20"/>
  <c r="G19" i="20"/>
  <c r="G18" i="20"/>
  <c r="C18" i="20"/>
  <c r="C17" i="20"/>
  <c r="G16" i="20"/>
  <c r="C16" i="20"/>
  <c r="C17" i="39" s="1"/>
  <c r="G15" i="20"/>
  <c r="C15" i="20"/>
  <c r="B59" i="1"/>
  <c r="B52" i="1" s="1"/>
  <c r="M20" i="67" s="1"/>
  <c r="B43" i="1"/>
  <c r="D93" i="9" s="1"/>
  <c r="B31" i="1"/>
  <c r="B22" i="1"/>
  <c r="B21" i="1"/>
  <c r="B24" i="1" s="1"/>
  <c r="F34" i="11" s="1"/>
  <c r="N18" i="1"/>
  <c r="K18" i="1"/>
  <c r="P14" i="1"/>
  <c r="O14" i="1"/>
  <c r="AP13" i="1"/>
  <c r="AG13" i="1"/>
  <c r="AE13" i="1"/>
  <c r="R13" i="1"/>
  <c r="P13" i="1"/>
  <c r="O13" i="1"/>
  <c r="F13" i="1"/>
  <c r="D13" i="1"/>
  <c r="B13" i="1"/>
  <c r="E13" i="1" s="1"/>
  <c r="A13" i="1"/>
  <c r="S13" i="1" s="1"/>
  <c r="AQ13" i="1" s="1"/>
  <c r="AP12" i="1"/>
  <c r="AG12" i="1"/>
  <c r="AE12" i="1"/>
  <c r="P12" i="1"/>
  <c r="O12" i="1"/>
  <c r="F12" i="1"/>
  <c r="D12" i="1"/>
  <c r="A12" i="1"/>
  <c r="AP11" i="1"/>
  <c r="AG11" i="1"/>
  <c r="AE11" i="1"/>
  <c r="S11" i="1"/>
  <c r="P11" i="1"/>
  <c r="O11" i="1"/>
  <c r="F11" i="1"/>
  <c r="D11" i="1"/>
  <c r="B11" i="1"/>
  <c r="E11" i="1" s="1"/>
  <c r="A11" i="1"/>
  <c r="R11" i="1" s="1"/>
  <c r="AP10" i="1"/>
  <c r="AG10" i="1"/>
  <c r="AE10" i="1"/>
  <c r="P10" i="1"/>
  <c r="O10" i="1"/>
  <c r="F10" i="1"/>
  <c r="D10" i="1"/>
  <c r="A10" i="1"/>
  <c r="AP9" i="1"/>
  <c r="AG9" i="1"/>
  <c r="AE9" i="1"/>
  <c r="P9" i="1"/>
  <c r="O9" i="1"/>
  <c r="F9" i="1"/>
  <c r="D9" i="1"/>
  <c r="B9" i="1"/>
  <c r="E9" i="1" s="1"/>
  <c r="A9" i="1"/>
  <c r="R9" i="1" s="1"/>
  <c r="AP8" i="1"/>
  <c r="AG8" i="1"/>
  <c r="P8" i="1"/>
  <c r="O8" i="1"/>
  <c r="F8" i="1"/>
  <c r="D8" i="1"/>
  <c r="A8" i="1"/>
  <c r="AP7" i="1"/>
  <c r="AG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G546" i="3" s="1"/>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BT532" i="3"/>
  <c r="BS532" i="3"/>
  <c r="BR532" i="3"/>
  <c r="BQ532" i="3"/>
  <c r="BP532" i="3"/>
  <c r="BO532" i="3"/>
  <c r="BL532" i="3" s="1"/>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A505" i="3" s="1"/>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L379" i="3" s="1"/>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A364" i="3" s="1"/>
  <c r="AZ364" i="3" s="1"/>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A336" i="3" s="1"/>
  <c r="AZ336" i="3" s="1"/>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A320" i="3" s="1"/>
  <c r="AZ320" i="3" s="1"/>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AZ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A123" i="3" s="1"/>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A44" i="3" s="1"/>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Q5" i="3" s="1"/>
  <c r="BP14" i="3"/>
  <c r="BO14" i="3"/>
  <c r="BN14" i="3"/>
  <c r="BM14" i="3"/>
  <c r="BK14" i="3"/>
  <c r="BJ14" i="3"/>
  <c r="BI14" i="3"/>
  <c r="BH14" i="3"/>
  <c r="BG14" i="3"/>
  <c r="BF14" i="3"/>
  <c r="BE14" i="3"/>
  <c r="BE5" i="3" s="1"/>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D15" i="4"/>
  <c r="C15" i="4"/>
  <c r="K6" i="4"/>
  <c r="I4" i="4"/>
  <c r="G4" i="4"/>
  <c r="E4" i="4"/>
  <c r="B5" i="62" s="1"/>
  <c r="B73" i="72" s="1"/>
  <c r="C4" i="4"/>
  <c r="B4" i="62" s="1"/>
  <c r="B71" i="72" s="1"/>
  <c r="C1" i="73"/>
  <c r="S2" i="4"/>
  <c r="A118" i="9" s="1"/>
  <c r="S1" i="4"/>
  <c r="A4" i="51" s="1"/>
  <c r="B6" i="72" s="1"/>
  <c r="B1" i="4"/>
  <c r="AB8" i="71" s="1"/>
  <c r="C60" i="78"/>
  <c r="D60" i="78" s="1"/>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C18" i="78" s="1"/>
  <c r="F11" i="78"/>
  <c r="B51" i="10"/>
  <c r="H16" i="49"/>
  <c r="D16" i="49"/>
  <c r="D15" i="49"/>
  <c r="B2" i="49"/>
  <c r="F14" i="49" s="1"/>
  <c r="H14" i="49" s="1"/>
  <c r="A21" i="62"/>
  <c r="B67" i="72" s="1"/>
  <c r="A20" i="62"/>
  <c r="B66" i="72" s="1"/>
  <c r="A19" i="62"/>
  <c r="B65" i="72" s="1"/>
  <c r="A14" i="62"/>
  <c r="B60" i="72" s="1"/>
  <c r="A13" i="62"/>
  <c r="A12" i="62"/>
  <c r="B58" i="72" s="1"/>
  <c r="A5" i="62"/>
  <c r="A4" i="62"/>
  <c r="A8" i="52"/>
  <c r="B54" i="72" s="1"/>
  <c r="A6" i="52"/>
  <c r="B57" i="72" s="1"/>
  <c r="H2" i="52"/>
  <c r="F2" i="52"/>
  <c r="D2" i="52"/>
  <c r="A1" i="52"/>
  <c r="B19" i="53"/>
  <c r="B37" i="72" s="1"/>
  <c r="B16" i="53"/>
  <c r="B13" i="53"/>
  <c r="D12" i="53"/>
  <c r="B28" i="72" s="1"/>
  <c r="D11" i="53"/>
  <c r="B27" i="72" s="1"/>
  <c r="D10" i="53"/>
  <c r="B26" i="72" s="1"/>
  <c r="B8" i="53"/>
  <c r="B23" i="72" s="1"/>
  <c r="A3" i="53"/>
  <c r="A2" i="53"/>
  <c r="B19" i="72" s="1"/>
  <c r="A24" i="51"/>
  <c r="B18" i="72" s="1"/>
  <c r="A22" i="51"/>
  <c r="B17" i="72" s="1"/>
  <c r="A21" i="51"/>
  <c r="A20" i="51"/>
  <c r="A3" i="51"/>
  <c r="B49" i="48"/>
  <c r="B40" i="48"/>
  <c r="B37" i="48"/>
  <c r="B2" i="72" s="1"/>
  <c r="B74" i="72"/>
  <c r="B72" i="72"/>
  <c r="B70" i="72"/>
  <c r="B69" i="72"/>
  <c r="B68" i="72"/>
  <c r="B63" i="72"/>
  <c r="B62" i="72"/>
  <c r="B59" i="72"/>
  <c r="B50" i="72"/>
  <c r="B46" i="72"/>
  <c r="B44" i="72"/>
  <c r="B42" i="72"/>
  <c r="B33" i="72"/>
  <c r="B29" i="72"/>
  <c r="B16" i="72"/>
  <c r="B15" i="72"/>
  <c r="B10" i="72"/>
  <c r="B8" i="72"/>
  <c r="B5" i="72"/>
  <c r="B3" i="72"/>
  <c r="AE8" i="1"/>
  <c r="L48" i="83"/>
  <c r="L47" i="83"/>
  <c r="E11" i="76"/>
  <c r="D2" i="35"/>
  <c r="E2" i="68"/>
  <c r="D2" i="34"/>
  <c r="AO10" i="1"/>
  <c r="B11" i="76"/>
  <c r="E7" i="76"/>
  <c r="D2" i="33"/>
  <c r="E10" i="76"/>
  <c r="D2" i="36"/>
  <c r="AO13" i="1"/>
  <c r="B10" i="76"/>
  <c r="E8" i="76"/>
  <c r="E13" i="76"/>
  <c r="AO9" i="1"/>
  <c r="B12" i="76"/>
  <c r="B7" i="76"/>
  <c r="F20" i="31"/>
  <c r="B9" i="76"/>
  <c r="D2" i="21"/>
  <c r="E12" i="76"/>
  <c r="D2" i="37"/>
  <c r="E9" i="76"/>
  <c r="B13" i="76"/>
  <c r="AO12" i="1"/>
  <c r="E2" i="69"/>
  <c r="B8" i="76"/>
  <c r="AO11" i="1"/>
  <c r="L59" i="83" l="1"/>
  <c r="N59" i="83"/>
  <c r="M59" i="83"/>
  <c r="L58" i="83"/>
  <c r="L60" i="83"/>
  <c r="I54" i="83"/>
  <c r="J57" i="83"/>
  <c r="J55" i="83" s="1"/>
  <c r="J58" i="83" s="1"/>
  <c r="Q50" i="83" s="1"/>
  <c r="L57" i="83"/>
  <c r="L56" i="83"/>
  <c r="J53" i="83"/>
  <c r="BI5" i="3"/>
  <c r="K5" i="4"/>
  <c r="B47" i="48" s="1"/>
  <c r="G77" i="33"/>
  <c r="J15" i="33"/>
  <c r="H15" i="33"/>
  <c r="U15" i="33" s="1"/>
  <c r="F15" i="33"/>
  <c r="S15" i="33" s="1"/>
  <c r="BD5" i="3"/>
  <c r="BH5" i="3"/>
  <c r="BP5" i="3"/>
  <c r="BT5" i="3"/>
  <c r="AZ51" i="3"/>
  <c r="AZ67" i="3"/>
  <c r="AZ79" i="3"/>
  <c r="AZ123" i="3"/>
  <c r="BA160" i="3"/>
  <c r="BL179" i="3"/>
  <c r="BK5" i="3"/>
  <c r="B56" i="78"/>
  <c r="BL14" i="3"/>
  <c r="BL16" i="3"/>
  <c r="BL21" i="3"/>
  <c r="BL28" i="3"/>
  <c r="AZ28" i="3" s="1"/>
  <c r="BL29" i="3"/>
  <c r="BL30" i="3"/>
  <c r="G32" i="3"/>
  <c r="BA34" i="3"/>
  <c r="BA35" i="3"/>
  <c r="AZ35" i="3" s="1"/>
  <c r="BL40" i="3"/>
  <c r="AZ40" i="3" s="1"/>
  <c r="BL41" i="3"/>
  <c r="BL42" i="3"/>
  <c r="G44" i="3"/>
  <c r="BA46" i="3"/>
  <c r="BA47" i="3"/>
  <c r="AZ47" i="3" s="1"/>
  <c r="BA49" i="3"/>
  <c r="BL56" i="3"/>
  <c r="BL57" i="3"/>
  <c r="BL58" i="3"/>
  <c r="G60" i="3"/>
  <c r="BA62" i="3"/>
  <c r="BA63" i="3"/>
  <c r="AZ63" i="3" s="1"/>
  <c r="BA65" i="3"/>
  <c r="G72" i="3"/>
  <c r="BA74" i="3"/>
  <c r="BA75" i="3"/>
  <c r="AZ75" i="3" s="1"/>
  <c r="BA77" i="3"/>
  <c r="BA84" i="3"/>
  <c r="BA86" i="3"/>
  <c r="BA87" i="3"/>
  <c r="AZ87" i="3" s="1"/>
  <c r="BA89" i="3"/>
  <c r="BA92" i="3"/>
  <c r="BA94" i="3"/>
  <c r="BA95" i="3"/>
  <c r="BL95" i="3"/>
  <c r="BL96" i="3"/>
  <c r="BL97" i="3"/>
  <c r="BL98" i="3"/>
  <c r="G100" i="3"/>
  <c r="BA102" i="3"/>
  <c r="BA103" i="3"/>
  <c r="AZ103" i="3" s="1"/>
  <c r="BA108" i="3"/>
  <c r="BA110" i="3"/>
  <c r="BA111" i="3"/>
  <c r="BL111" i="3"/>
  <c r="G116" i="3"/>
  <c r="BA118" i="3"/>
  <c r="BA119" i="3"/>
  <c r="AZ119" i="3" s="1"/>
  <c r="BA121" i="3"/>
  <c r="G128" i="3"/>
  <c r="BA130" i="3"/>
  <c r="BL148" i="3"/>
  <c r="AZ148" i="3" s="1"/>
  <c r="BL149" i="3"/>
  <c r="BL150" i="3"/>
  <c r="BL155" i="3"/>
  <c r="BL163" i="3"/>
  <c r="G197" i="3"/>
  <c r="AZ203" i="3"/>
  <c r="G205" i="3"/>
  <c r="AZ211" i="3"/>
  <c r="G213" i="3"/>
  <c r="BL223" i="3"/>
  <c r="AZ227" i="3"/>
  <c r="G229" i="3"/>
  <c r="BG5" i="3"/>
  <c r="BM5" i="3"/>
  <c r="BL13" i="3"/>
  <c r="BN5" i="3"/>
  <c r="BR5" i="3"/>
  <c r="BL20" i="3"/>
  <c r="BL24" i="3"/>
  <c r="BL25" i="3"/>
  <c r="AZ25" i="3" s="1"/>
  <c r="BL26" i="3"/>
  <c r="G28" i="3"/>
  <c r="BA30" i="3"/>
  <c r="AZ30" i="3" s="1"/>
  <c r="BA31" i="3"/>
  <c r="AZ31" i="3" s="1"/>
  <c r="BA33" i="3"/>
  <c r="BL36" i="3"/>
  <c r="BL37" i="3"/>
  <c r="AZ37" i="3" s="1"/>
  <c r="BL38" i="3"/>
  <c r="G40" i="3"/>
  <c r="BA42" i="3"/>
  <c r="AZ42" i="3" s="1"/>
  <c r="BA43" i="3"/>
  <c r="AZ43" i="3" s="1"/>
  <c r="BA45" i="3"/>
  <c r="BL52" i="3"/>
  <c r="BL53" i="3"/>
  <c r="AZ53" i="3" s="1"/>
  <c r="BL54" i="3"/>
  <c r="G56" i="3"/>
  <c r="BA58" i="3"/>
  <c r="AZ58" i="3" s="1"/>
  <c r="BA59" i="3"/>
  <c r="AZ59" i="3" s="1"/>
  <c r="BA61" i="3"/>
  <c r="BL68" i="3"/>
  <c r="BL69" i="3"/>
  <c r="AZ69" i="3" s="1"/>
  <c r="BL70" i="3"/>
  <c r="BA73" i="3"/>
  <c r="BL80" i="3"/>
  <c r="BL81" i="3"/>
  <c r="AZ81" i="3" s="1"/>
  <c r="BL82" i="3"/>
  <c r="G84" i="3"/>
  <c r="BA85" i="3"/>
  <c r="G92" i="3"/>
  <c r="BA93" i="3"/>
  <c r="BA96" i="3"/>
  <c r="AZ96" i="3" s="1"/>
  <c r="BA98" i="3"/>
  <c r="AZ98" i="3" s="1"/>
  <c r="BA99" i="3"/>
  <c r="AZ99" i="3" s="1"/>
  <c r="BA101" i="3"/>
  <c r="BL104" i="3"/>
  <c r="BL105" i="3"/>
  <c r="AZ105" i="3" s="1"/>
  <c r="BL106" i="3"/>
  <c r="G108" i="3"/>
  <c r="BA109" i="3"/>
  <c r="BL112" i="3"/>
  <c r="BL113" i="3"/>
  <c r="AZ113" i="3" s="1"/>
  <c r="BL114" i="3"/>
  <c r="BA117" i="3"/>
  <c r="BL124" i="3"/>
  <c r="BL125" i="3"/>
  <c r="AZ125" i="3" s="1"/>
  <c r="BL126" i="3"/>
  <c r="BA129" i="3"/>
  <c r="G136" i="3"/>
  <c r="BA138" i="3"/>
  <c r="BA139" i="3"/>
  <c r="AZ139" i="3" s="1"/>
  <c r="AZ179" i="3"/>
  <c r="BA208" i="3"/>
  <c r="AZ263" i="3"/>
  <c r="G265" i="3"/>
  <c r="BA292" i="3"/>
  <c r="B18" i="78"/>
  <c r="G23" i="78"/>
  <c r="A15" i="62"/>
  <c r="B61" i="72" s="1"/>
  <c r="BA15" i="3"/>
  <c r="BF5" i="3"/>
  <c r="BJ5" i="3"/>
  <c r="BO5" i="3"/>
  <c r="BS5" i="3"/>
  <c r="G18" i="3"/>
  <c r="BL18" i="3"/>
  <c r="G19" i="3"/>
  <c r="B30" i="31" s="1"/>
  <c r="BL19" i="3"/>
  <c r="AZ19" i="3" s="1"/>
  <c r="BL23" i="3"/>
  <c r="G24" i="3"/>
  <c r="BA26" i="3"/>
  <c r="BA27" i="3"/>
  <c r="AZ27" i="3" s="1"/>
  <c r="BA29" i="3"/>
  <c r="AZ29" i="3" s="1"/>
  <c r="G35" i="3"/>
  <c r="BA36" i="3"/>
  <c r="BA38" i="3"/>
  <c r="BA39" i="3"/>
  <c r="AZ39" i="3" s="1"/>
  <c r="BA41" i="3"/>
  <c r="G47" i="3"/>
  <c r="BL48" i="3"/>
  <c r="AZ48" i="3" s="1"/>
  <c r="BL49" i="3"/>
  <c r="G50" i="3"/>
  <c r="BL50" i="3"/>
  <c r="AZ50" i="3" s="1"/>
  <c r="G52" i="3"/>
  <c r="BA54" i="3"/>
  <c r="AZ54" i="3" s="1"/>
  <c r="BA55" i="3"/>
  <c r="AZ55" i="3" s="1"/>
  <c r="BA57" i="3"/>
  <c r="G63" i="3"/>
  <c r="BL64" i="3"/>
  <c r="AZ64" i="3" s="1"/>
  <c r="BL65" i="3"/>
  <c r="G66" i="3"/>
  <c r="BL66" i="3"/>
  <c r="AZ66" i="3" s="1"/>
  <c r="G68" i="3"/>
  <c r="BA70" i="3"/>
  <c r="AZ70" i="3" s="1"/>
  <c r="BA71" i="3"/>
  <c r="BL71" i="3"/>
  <c r="G75" i="3"/>
  <c r="BL76" i="3"/>
  <c r="AZ76" i="3" s="1"/>
  <c r="BL77" i="3"/>
  <c r="G78" i="3"/>
  <c r="BL78" i="3"/>
  <c r="AZ78" i="3" s="1"/>
  <c r="G80" i="3"/>
  <c r="BA82" i="3"/>
  <c r="BA83" i="3"/>
  <c r="AZ83" i="3" s="1"/>
  <c r="G87" i="3"/>
  <c r="BL88" i="3"/>
  <c r="AZ88" i="3" s="1"/>
  <c r="BL89" i="3"/>
  <c r="G90" i="3"/>
  <c r="BL90" i="3"/>
  <c r="AZ90" i="3" s="1"/>
  <c r="G95" i="3"/>
  <c r="G96" i="3"/>
  <c r="BA97" i="3"/>
  <c r="AZ97" i="3" s="1"/>
  <c r="G103" i="3"/>
  <c r="BA104" i="3"/>
  <c r="AZ104" i="3" s="1"/>
  <c r="BA106" i="3"/>
  <c r="BA107" i="3"/>
  <c r="AZ107" i="3" s="1"/>
  <c r="G111" i="3"/>
  <c r="G112" i="3"/>
  <c r="BA114" i="3"/>
  <c r="BA115" i="3"/>
  <c r="BL115" i="3"/>
  <c r="G119" i="3"/>
  <c r="BL120" i="3"/>
  <c r="AZ120" i="3" s="1"/>
  <c r="BL121" i="3"/>
  <c r="G122" i="3"/>
  <c r="BL122" i="3"/>
  <c r="AZ122" i="3" s="1"/>
  <c r="G124" i="3"/>
  <c r="BA126" i="3"/>
  <c r="BA127" i="3"/>
  <c r="BL127" i="3"/>
  <c r="G131" i="3"/>
  <c r="BL132" i="3"/>
  <c r="AZ132" i="3" s="1"/>
  <c r="BL133" i="3"/>
  <c r="G134" i="3"/>
  <c r="BL134" i="3"/>
  <c r="AZ134" i="3" s="1"/>
  <c r="BA137" i="3"/>
  <c r="AZ137" i="3" s="1"/>
  <c r="G141" i="3"/>
  <c r="BA142" i="3"/>
  <c r="BA143" i="3"/>
  <c r="AZ143" i="3" s="1"/>
  <c r="BL151" i="3"/>
  <c r="AZ155" i="3"/>
  <c r="G157" i="3"/>
  <c r="AZ163" i="3"/>
  <c r="G165" i="3"/>
  <c r="BA172" i="3"/>
  <c r="AZ172" i="3" s="1"/>
  <c r="BL195" i="3"/>
  <c r="AZ195" i="3" s="1"/>
  <c r="BA244" i="3"/>
  <c r="BA280" i="3"/>
  <c r="BA416" i="3"/>
  <c r="S31" i="34"/>
  <c r="AA31" i="34"/>
  <c r="S14" i="21"/>
  <c r="AA14" i="21"/>
  <c r="BL144" i="3"/>
  <c r="BL145" i="3"/>
  <c r="BL146" i="3"/>
  <c r="G148" i="3"/>
  <c r="BA150" i="3"/>
  <c r="AZ150" i="3" s="1"/>
  <c r="BA151" i="3"/>
  <c r="AZ151" i="3" s="1"/>
  <c r="BA153" i="3"/>
  <c r="G160" i="3"/>
  <c r="BA161" i="3"/>
  <c r="BL168" i="3"/>
  <c r="BL169" i="3"/>
  <c r="BL170" i="3"/>
  <c r="G172" i="3"/>
  <c r="BA174" i="3"/>
  <c r="AZ174" i="3" s="1"/>
  <c r="BA175" i="3"/>
  <c r="AZ175" i="3" s="1"/>
  <c r="BA177" i="3"/>
  <c r="BL184" i="3"/>
  <c r="BL185" i="3"/>
  <c r="BL186" i="3"/>
  <c r="G188" i="3"/>
  <c r="BA190" i="3"/>
  <c r="AZ190" i="3" s="1"/>
  <c r="BA191" i="3"/>
  <c r="AZ191" i="3" s="1"/>
  <c r="BA193" i="3"/>
  <c r="G200" i="3"/>
  <c r="BA201" i="3"/>
  <c r="G208" i="3"/>
  <c r="BA209" i="3"/>
  <c r="AZ209" i="3" s="1"/>
  <c r="BL216" i="3"/>
  <c r="BL217" i="3"/>
  <c r="BL218" i="3"/>
  <c r="G220" i="3"/>
  <c r="BA222" i="3"/>
  <c r="AZ222" i="3" s="1"/>
  <c r="BA223" i="3"/>
  <c r="AZ223" i="3" s="1"/>
  <c r="BA225" i="3"/>
  <c r="BL232" i="3"/>
  <c r="BL233" i="3"/>
  <c r="BL234" i="3"/>
  <c r="G236" i="3"/>
  <c r="BA238" i="3"/>
  <c r="AZ238" i="3" s="1"/>
  <c r="BA239" i="3"/>
  <c r="BL239" i="3"/>
  <c r="BL244" i="3"/>
  <c r="BL245" i="3"/>
  <c r="BL246" i="3"/>
  <c r="G248" i="3"/>
  <c r="BA250" i="3"/>
  <c r="AZ250" i="3" s="1"/>
  <c r="BA251" i="3"/>
  <c r="AZ251" i="3" s="1"/>
  <c r="BL251" i="3"/>
  <c r="BL252" i="3"/>
  <c r="BL253" i="3"/>
  <c r="BL254" i="3"/>
  <c r="G256" i="3"/>
  <c r="BA258" i="3"/>
  <c r="AZ258" i="3" s="1"/>
  <c r="BA259" i="3"/>
  <c r="AZ259" i="3" s="1"/>
  <c r="BA261" i="3"/>
  <c r="G268" i="3"/>
  <c r="BA270" i="3"/>
  <c r="AZ270" i="3" s="1"/>
  <c r="BA271" i="3"/>
  <c r="AZ271" i="3" s="1"/>
  <c r="BA273" i="3"/>
  <c r="BL280" i="3"/>
  <c r="BL281" i="3"/>
  <c r="BL282" i="3"/>
  <c r="G284" i="3"/>
  <c r="BA286" i="3"/>
  <c r="AZ286" i="3" s="1"/>
  <c r="BA287" i="3"/>
  <c r="AZ287" i="3" s="1"/>
  <c r="BA289" i="3"/>
  <c r="BL292" i="3"/>
  <c r="BL293" i="3"/>
  <c r="BL294" i="3"/>
  <c r="G296" i="3"/>
  <c r="BA298" i="3"/>
  <c r="AZ298" i="3" s="1"/>
  <c r="BA299" i="3"/>
  <c r="BL299" i="3"/>
  <c r="BL300" i="3"/>
  <c r="BL301" i="3"/>
  <c r="BL302" i="3"/>
  <c r="G304" i="3"/>
  <c r="G306" i="3"/>
  <c r="BA306" i="3"/>
  <c r="BA307" i="3"/>
  <c r="G320" i="3"/>
  <c r="G322" i="3"/>
  <c r="BA322" i="3"/>
  <c r="AZ322" i="3" s="1"/>
  <c r="BA323" i="3"/>
  <c r="AZ323" i="3" s="1"/>
  <c r="BA341" i="3"/>
  <c r="BL344" i="3"/>
  <c r="BL346" i="3"/>
  <c r="G348" i="3"/>
  <c r="G350" i="3"/>
  <c r="BA350" i="3"/>
  <c r="BA351" i="3"/>
  <c r="BL359" i="3"/>
  <c r="AZ359" i="3" s="1"/>
  <c r="G364" i="3"/>
  <c r="G366" i="3"/>
  <c r="BA366" i="3"/>
  <c r="AZ366" i="3" s="1"/>
  <c r="BA367" i="3"/>
  <c r="AZ367" i="3" s="1"/>
  <c r="BA372" i="3"/>
  <c r="G374" i="3"/>
  <c r="BA374" i="3"/>
  <c r="BA375" i="3"/>
  <c r="AZ379" i="3"/>
  <c r="G384" i="3"/>
  <c r="BA396" i="3"/>
  <c r="BA131" i="3"/>
  <c r="AZ131" i="3" s="1"/>
  <c r="BA133" i="3"/>
  <c r="G139" i="3"/>
  <c r="BL140" i="3"/>
  <c r="AZ140" i="3" s="1"/>
  <c r="BL141" i="3"/>
  <c r="AZ141" i="3" s="1"/>
  <c r="G142" i="3"/>
  <c r="BL142" i="3"/>
  <c r="G144" i="3"/>
  <c r="BA146" i="3"/>
  <c r="BA147" i="3"/>
  <c r="AZ147" i="3" s="1"/>
  <c r="BA149" i="3"/>
  <c r="AZ149" i="3" s="1"/>
  <c r="G155" i="3"/>
  <c r="BL156" i="3"/>
  <c r="AZ156" i="3" s="1"/>
  <c r="BL157" i="3"/>
  <c r="AZ157" i="3" s="1"/>
  <c r="G158" i="3"/>
  <c r="BL158" i="3"/>
  <c r="G163" i="3"/>
  <c r="BL164" i="3"/>
  <c r="AZ164" i="3" s="1"/>
  <c r="BL165" i="3"/>
  <c r="AZ165" i="3" s="1"/>
  <c r="G166" i="3"/>
  <c r="BL166" i="3"/>
  <c r="G168" i="3"/>
  <c r="BA170" i="3"/>
  <c r="BA171" i="3"/>
  <c r="AZ171" i="3" s="1"/>
  <c r="BA173" i="3"/>
  <c r="G179" i="3"/>
  <c r="BL180" i="3"/>
  <c r="AZ180" i="3" s="1"/>
  <c r="BL181" i="3"/>
  <c r="G182" i="3"/>
  <c r="BL182" i="3"/>
  <c r="G184" i="3"/>
  <c r="BA186" i="3"/>
  <c r="BA187" i="3"/>
  <c r="AZ187" i="3" s="1"/>
  <c r="BA189" i="3"/>
  <c r="G195" i="3"/>
  <c r="BL196" i="3"/>
  <c r="AZ196" i="3" s="1"/>
  <c r="BL197" i="3"/>
  <c r="AZ197" i="3" s="1"/>
  <c r="G198" i="3"/>
  <c r="BL198" i="3"/>
  <c r="G203" i="3"/>
  <c r="BL204" i="3"/>
  <c r="AZ204" i="3" s="1"/>
  <c r="BL205" i="3"/>
  <c r="G206" i="3"/>
  <c r="BL206" i="3"/>
  <c r="G211" i="3"/>
  <c r="BL212" i="3"/>
  <c r="AZ212" i="3" s="1"/>
  <c r="BL213" i="3"/>
  <c r="G214" i="3"/>
  <c r="BL214" i="3"/>
  <c r="G216" i="3"/>
  <c r="BA218" i="3"/>
  <c r="BA219" i="3"/>
  <c r="AZ219" i="3" s="1"/>
  <c r="BA221" i="3"/>
  <c r="G227" i="3"/>
  <c r="BL228" i="3"/>
  <c r="AZ228" i="3" s="1"/>
  <c r="BL229" i="3"/>
  <c r="AZ229" i="3" s="1"/>
  <c r="G230" i="3"/>
  <c r="BL230" i="3"/>
  <c r="G232" i="3"/>
  <c r="BA234" i="3"/>
  <c r="BA235" i="3"/>
  <c r="AZ235" i="3" s="1"/>
  <c r="BA237" i="3"/>
  <c r="BL240" i="3"/>
  <c r="AZ240" i="3" s="1"/>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AZ283" i="3" s="1"/>
  <c r="BA285" i="3"/>
  <c r="G291" i="3"/>
  <c r="G292" i="3"/>
  <c r="BA294" i="3"/>
  <c r="BA295" i="3"/>
  <c r="AZ295" i="3" s="1"/>
  <c r="BA297" i="3"/>
  <c r="AZ297" i="3" s="1"/>
  <c r="BL307" i="3"/>
  <c r="BL308" i="3"/>
  <c r="AZ308" i="3" s="1"/>
  <c r="BL310" i="3"/>
  <c r="BL316" i="3"/>
  <c r="BL318" i="3"/>
  <c r="BA321" i="3"/>
  <c r="BA328" i="3"/>
  <c r="AZ328" i="3" s="1"/>
  <c r="BA329" i="3"/>
  <c r="G336" i="3"/>
  <c r="G338" i="3"/>
  <c r="BA338" i="3"/>
  <c r="AZ338" i="3" s="1"/>
  <c r="BA339" i="3"/>
  <c r="AZ339" i="3" s="1"/>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AZ546" i="3"/>
  <c r="BL549" i="3"/>
  <c r="BL554" i="3"/>
  <c r="BL152" i="3"/>
  <c r="BL153" i="3"/>
  <c r="G154" i="3"/>
  <c r="BL154" i="3"/>
  <c r="BA158" i="3"/>
  <c r="BA159" i="3"/>
  <c r="AZ159" i="3" s="1"/>
  <c r="BL159" i="3"/>
  <c r="BL160" i="3"/>
  <c r="BL161" i="3"/>
  <c r="G162" i="3"/>
  <c r="BL162" i="3"/>
  <c r="BA166" i="3"/>
  <c r="AZ166" i="3" s="1"/>
  <c r="BA167" i="3"/>
  <c r="AZ167" i="3" s="1"/>
  <c r="BA169" i="3"/>
  <c r="G175" i="3"/>
  <c r="BL176" i="3"/>
  <c r="BL177" i="3"/>
  <c r="G178" i="3"/>
  <c r="BL178" i="3"/>
  <c r="BA182" i="3"/>
  <c r="AZ182" i="3" s="1"/>
  <c r="BA183" i="3"/>
  <c r="AZ183" i="3" s="1"/>
  <c r="BA185" i="3"/>
  <c r="G191" i="3"/>
  <c r="BL192" i="3"/>
  <c r="BL193" i="3"/>
  <c r="G194" i="3"/>
  <c r="BL194" i="3"/>
  <c r="BA198" i="3"/>
  <c r="AZ198" i="3" s="1"/>
  <c r="BA199" i="3"/>
  <c r="BL199" i="3"/>
  <c r="BL200" i="3"/>
  <c r="BL201" i="3"/>
  <c r="G202" i="3"/>
  <c r="BL202" i="3"/>
  <c r="BA206" i="3"/>
  <c r="BA207" i="3"/>
  <c r="BL207" i="3"/>
  <c r="BL208" i="3"/>
  <c r="BL209" i="3"/>
  <c r="G210" i="3"/>
  <c r="BL210" i="3"/>
  <c r="BA214" i="3"/>
  <c r="AZ214" i="3" s="1"/>
  <c r="BA215" i="3"/>
  <c r="AZ215" i="3" s="1"/>
  <c r="BA217" i="3"/>
  <c r="G223" i="3"/>
  <c r="BL224" i="3"/>
  <c r="BL225" i="3"/>
  <c r="G226" i="3"/>
  <c r="BL226" i="3"/>
  <c r="BA230" i="3"/>
  <c r="AZ230" i="3" s="1"/>
  <c r="BA231" i="3"/>
  <c r="AZ231" i="3" s="1"/>
  <c r="BA233" i="3"/>
  <c r="G239" i="3"/>
  <c r="BA242" i="3"/>
  <c r="AZ242" i="3" s="1"/>
  <c r="BA243" i="3"/>
  <c r="AZ243" i="3" s="1"/>
  <c r="BA245" i="3"/>
  <c r="G251" i="3"/>
  <c r="BA253" i="3"/>
  <c r="G259" i="3"/>
  <c r="BL260" i="3"/>
  <c r="BL261" i="3"/>
  <c r="G262" i="3"/>
  <c r="BL262" i="3"/>
  <c r="BA266" i="3"/>
  <c r="AZ266" i="3" s="1"/>
  <c r="BA267" i="3"/>
  <c r="BL267" i="3"/>
  <c r="G271" i="3"/>
  <c r="BL272" i="3"/>
  <c r="BL273" i="3"/>
  <c r="G274" i="3"/>
  <c r="BL274" i="3"/>
  <c r="BA278" i="3"/>
  <c r="AZ278" i="3" s="1"/>
  <c r="BA279" i="3"/>
  <c r="AZ279" i="3" s="1"/>
  <c r="BA281" i="3"/>
  <c r="G287" i="3"/>
  <c r="BL288" i="3"/>
  <c r="BL289" i="3"/>
  <c r="G290" i="3"/>
  <c r="BL290" i="3"/>
  <c r="BA293" i="3"/>
  <c r="G299" i="3"/>
  <c r="BA300" i="3"/>
  <c r="AZ300" i="3" s="1"/>
  <c r="BA301" i="3"/>
  <c r="BA310" i="3"/>
  <c r="AZ310" i="3" s="1"/>
  <c r="BA311" i="3"/>
  <c r="BL311" i="3"/>
  <c r="BL312" i="3"/>
  <c r="AZ312" i="3" s="1"/>
  <c r="BL314" i="3"/>
  <c r="BA318" i="3"/>
  <c r="BA319" i="3"/>
  <c r="AZ319" i="3" s="1"/>
  <c r="G325" i="3"/>
  <c r="BA326" i="3"/>
  <c r="BA327" i="3"/>
  <c r="AZ327" i="3" s="1"/>
  <c r="BL332" i="3"/>
  <c r="BL334" i="3"/>
  <c r="BA337" i="3"/>
  <c r="BA344" i="3"/>
  <c r="AZ344" i="3" s="1"/>
  <c r="BA345" i="3"/>
  <c r="G352" i="3"/>
  <c r="G354" i="3"/>
  <c r="BA354" i="3"/>
  <c r="AZ354" i="3" s="1"/>
  <c r="BA355" i="3"/>
  <c r="AZ355" i="3" s="1"/>
  <c r="G360" i="3"/>
  <c r="G362" i="3"/>
  <c r="BA362" i="3"/>
  <c r="BA363" i="3"/>
  <c r="AZ363" i="3" s="1"/>
  <c r="G369" i="3"/>
  <c r="BA370" i="3"/>
  <c r="BA371" i="3"/>
  <c r="AZ371" i="3" s="1"/>
  <c r="G376" i="3"/>
  <c r="BA380" i="3"/>
  <c r="G382" i="3"/>
  <c r="BA382" i="3"/>
  <c r="BA383" i="3"/>
  <c r="AZ383" i="3" s="1"/>
  <c r="BL384" i="3"/>
  <c r="AZ384" i="3" s="1"/>
  <c r="BL386" i="3"/>
  <c r="BA389" i="3"/>
  <c r="BA414" i="3"/>
  <c r="BA415" i="3"/>
  <c r="AZ415" i="3" s="1"/>
  <c r="BA418" i="3"/>
  <c r="BA419" i="3"/>
  <c r="AZ419" i="3" s="1"/>
  <c r="BA430" i="3"/>
  <c r="BA431" i="3"/>
  <c r="BL431" i="3"/>
  <c r="BL553" i="3"/>
  <c r="AB12" i="34"/>
  <c r="U30" i="34"/>
  <c r="AB30" i="34"/>
  <c r="H44" i="34"/>
  <c r="J44" i="34"/>
  <c r="AC8" i="21"/>
  <c r="W8" i="21"/>
  <c r="AC15" i="21"/>
  <c r="W15" i="21"/>
  <c r="U28" i="21"/>
  <c r="AB28" i="21"/>
  <c r="K143" i="21"/>
  <c r="K144" i="21"/>
  <c r="AA26" i="33"/>
  <c r="S26" i="33"/>
  <c r="S45" i="39"/>
  <c r="AA45" i="39"/>
  <c r="E71" i="71"/>
  <c r="E70" i="71" s="1"/>
  <c r="U72" i="71"/>
  <c r="G386" i="3"/>
  <c r="BA386" i="3"/>
  <c r="AZ386" i="3" s="1"/>
  <c r="BA387" i="3"/>
  <c r="AZ387" i="3" s="1"/>
  <c r="BL392" i="3"/>
  <c r="BL394" i="3"/>
  <c r="G396" i="3"/>
  <c r="BA397" i="3"/>
  <c r="BA404" i="3"/>
  <c r="AZ404" i="3" s="1"/>
  <c r="G406" i="3"/>
  <c r="BA406" i="3"/>
  <c r="AZ406" i="3" s="1"/>
  <c r="BA407" i="3"/>
  <c r="AZ407" i="3" s="1"/>
  <c r="BL412" i="3"/>
  <c r="BL414" i="3"/>
  <c r="G416" i="3"/>
  <c r="BA417" i="3"/>
  <c r="G421" i="3"/>
  <c r="BA422" i="3"/>
  <c r="BA423" i="3"/>
  <c r="AZ423" i="3" s="1"/>
  <c r="BL428" i="3"/>
  <c r="AZ428" i="3" s="1"/>
  <c r="BL430" i="3"/>
  <c r="BL447" i="3"/>
  <c r="G449" i="3"/>
  <c r="BA450" i="3"/>
  <c r="BL450" i="3"/>
  <c r="BA452" i="3"/>
  <c r="BA456" i="3"/>
  <c r="G461" i="3"/>
  <c r="BA462" i="3"/>
  <c r="AZ462" i="3" s="1"/>
  <c r="BL462" i="3"/>
  <c r="BL463" i="3"/>
  <c r="BA468" i="3"/>
  <c r="BL482" i="3"/>
  <c r="G483" i="3"/>
  <c r="BL496" i="3"/>
  <c r="G497" i="3"/>
  <c r="BA498" i="3"/>
  <c r="AZ498" i="3" s="1"/>
  <c r="BL505" i="3"/>
  <c r="AZ505" i="3" s="1"/>
  <c r="G507" i="3"/>
  <c r="G508" i="3"/>
  <c r="G509" i="3"/>
  <c r="G510" i="3"/>
  <c r="BA510" i="3"/>
  <c r="BA519" i="3"/>
  <c r="BA521" i="3"/>
  <c r="AZ521" i="3" s="1"/>
  <c r="BL525" i="3"/>
  <c r="BA529" i="3"/>
  <c r="BL533" i="3"/>
  <c r="AZ533" i="3" s="1"/>
  <c r="BL542" i="3"/>
  <c r="G543" i="3"/>
  <c r="G544" i="3"/>
  <c r="BA550" i="3"/>
  <c r="AZ550" i="3" s="1"/>
  <c r="BA554" i="3"/>
  <c r="AZ554" i="3" s="1"/>
  <c r="BA558" i="3"/>
  <c r="AZ558" i="3" s="1"/>
  <c r="BA562" i="3"/>
  <c r="AZ562" i="3" s="1"/>
  <c r="BA566" i="3"/>
  <c r="AZ566" i="3" s="1"/>
  <c r="BA570" i="3"/>
  <c r="AZ570" i="3" s="1"/>
  <c r="BL572" i="3"/>
  <c r="BL573" i="3"/>
  <c r="BL574" i="3"/>
  <c r="AZ574" i="3" s="1"/>
  <c r="G578" i="3"/>
  <c r="BA582" i="3"/>
  <c r="G585" i="3"/>
  <c r="BA587" i="3"/>
  <c r="P27" i="6"/>
  <c r="R12" i="1"/>
  <c r="B12" i="1"/>
  <c r="E12" i="1" s="1"/>
  <c r="C21" i="68"/>
  <c r="P74" i="15"/>
  <c r="AB21" i="34"/>
  <c r="U25" i="34"/>
  <c r="F28" i="34"/>
  <c r="AA28" i="34" s="1"/>
  <c r="J31" i="34"/>
  <c r="AB31" i="34"/>
  <c r="U40" i="34"/>
  <c r="J12" i="34"/>
  <c r="F12" i="34"/>
  <c r="F23" i="34"/>
  <c r="AA23" i="34" s="1"/>
  <c r="J23" i="34"/>
  <c r="AC23" i="34" s="1"/>
  <c r="E105" i="34"/>
  <c r="P74" i="67"/>
  <c r="J14" i="21"/>
  <c r="W19" i="21"/>
  <c r="AC19" i="21"/>
  <c r="AA21" i="21"/>
  <c r="W23" i="21"/>
  <c r="AC23" i="21"/>
  <c r="AB25" i="21"/>
  <c r="W32" i="21"/>
  <c r="AC32" i="21"/>
  <c r="AA34" i="21"/>
  <c r="F27" i="33"/>
  <c r="F44" i="33"/>
  <c r="S44" i="33" s="1"/>
  <c r="J13" i="33"/>
  <c r="H13" i="33"/>
  <c r="F17" i="33"/>
  <c r="S17" i="33" s="1"/>
  <c r="E79" i="33"/>
  <c r="F79" i="33" s="1"/>
  <c r="G79" i="33" s="1"/>
  <c r="J17" i="33"/>
  <c r="W17" i="33" s="1"/>
  <c r="E283" i="31"/>
  <c r="E67" i="31"/>
  <c r="E131" i="31"/>
  <c r="E46" i="31"/>
  <c r="E99" i="31"/>
  <c r="E68" i="31"/>
  <c r="E47" i="31"/>
  <c r="AC29" i="37"/>
  <c r="W29" i="37"/>
  <c r="BA436" i="3"/>
  <c r="AZ436" i="3" s="1"/>
  <c r="BA437" i="3"/>
  <c r="BA442" i="3"/>
  <c r="AZ442" i="3" s="1"/>
  <c r="BL442" i="3"/>
  <c r="BA444" i="3"/>
  <c r="BA461" i="3"/>
  <c r="BA463" i="3"/>
  <c r="AZ463" i="3" s="1"/>
  <c r="BA466" i="3"/>
  <c r="BL466" i="3"/>
  <c r="BA474" i="3"/>
  <c r="AZ474" i="3" s="1"/>
  <c r="BL481" i="3"/>
  <c r="BL494" i="3"/>
  <c r="AZ494" i="3" s="1"/>
  <c r="BA506" i="3"/>
  <c r="AZ506" i="3" s="1"/>
  <c r="BL512" i="3"/>
  <c r="BA514" i="3"/>
  <c r="AZ514" i="3" s="1"/>
  <c r="AZ526" i="3"/>
  <c r="BA535" i="3"/>
  <c r="BA537" i="3"/>
  <c r="BL541" i="3"/>
  <c r="BA545" i="3"/>
  <c r="BA576" i="3"/>
  <c r="BA580" i="3"/>
  <c r="AZ580" i="3" s="1"/>
  <c r="BL583" i="3"/>
  <c r="K8" i="1"/>
  <c r="M8" i="1" s="1"/>
  <c r="N20" i="1"/>
  <c r="AB27" i="21"/>
  <c r="AB31" i="21"/>
  <c r="U31" i="21"/>
  <c r="U10" i="33"/>
  <c r="AB10" i="33"/>
  <c r="S13" i="33"/>
  <c r="AA13" i="33"/>
  <c r="AC19" i="33"/>
  <c r="J44" i="33"/>
  <c r="AC44" i="33" s="1"/>
  <c r="H30" i="33"/>
  <c r="AB30" i="33" s="1"/>
  <c r="J30" i="33"/>
  <c r="AC30" i="33" s="1"/>
  <c r="F46" i="33"/>
  <c r="S46" i="33" s="1"/>
  <c r="H46" i="33"/>
  <c r="AB46" i="33" s="1"/>
  <c r="W17" i="37"/>
  <c r="AC17" i="37"/>
  <c r="J24" i="36"/>
  <c r="H24" i="36"/>
  <c r="F24" i="36"/>
  <c r="AA24" i="36" s="1"/>
  <c r="BA302" i="3"/>
  <c r="AZ302" i="3" s="1"/>
  <c r="BA303" i="3"/>
  <c r="AZ303" i="3" s="1"/>
  <c r="BA305" i="3"/>
  <c r="G312" i="3"/>
  <c r="G314" i="3"/>
  <c r="BA314" i="3"/>
  <c r="AZ314" i="3" s="1"/>
  <c r="BA315" i="3"/>
  <c r="AZ315" i="3" s="1"/>
  <c r="BA317" i="3"/>
  <c r="BL324" i="3"/>
  <c r="BL326" i="3"/>
  <c r="G328" i="3"/>
  <c r="G330" i="3"/>
  <c r="BA330" i="3"/>
  <c r="AZ330" i="3" s="1"/>
  <c r="BA331" i="3"/>
  <c r="AZ331" i="3" s="1"/>
  <c r="BA333" i="3"/>
  <c r="BL340" i="3"/>
  <c r="BL342" i="3"/>
  <c r="G344" i="3"/>
  <c r="G346" i="3"/>
  <c r="BA346" i="3"/>
  <c r="AZ346" i="3" s="1"/>
  <c r="BA347" i="3"/>
  <c r="AZ347" i="3" s="1"/>
  <c r="BA349" i="3"/>
  <c r="BL356" i="3"/>
  <c r="BL358" i="3"/>
  <c r="BA361" i="3"/>
  <c r="BL368" i="3"/>
  <c r="BL370" i="3"/>
  <c r="G372" i="3"/>
  <c r="BA373" i="3"/>
  <c r="BL376" i="3"/>
  <c r="BL378" i="3"/>
  <c r="G380" i="3"/>
  <c r="BA381" i="3"/>
  <c r="BA388" i="3"/>
  <c r="AZ388" i="3" s="1"/>
  <c r="G390" i="3"/>
  <c r="BA390" i="3"/>
  <c r="AZ390" i="3" s="1"/>
  <c r="BA391" i="3"/>
  <c r="AZ391" i="3" s="1"/>
  <c r="BA393" i="3"/>
  <c r="BL396" i="3"/>
  <c r="BL398" i="3"/>
  <c r="G400" i="3"/>
  <c r="G402" i="3"/>
  <c r="BA402" i="3"/>
  <c r="AZ402" i="3" s="1"/>
  <c r="BA403" i="3"/>
  <c r="AZ403" i="3" s="1"/>
  <c r="BA408" i="3"/>
  <c r="AZ408" i="3" s="1"/>
  <c r="G410" i="3"/>
  <c r="BA410" i="3"/>
  <c r="AZ410" i="3" s="1"/>
  <c r="BA411" i="3"/>
  <c r="AZ411" i="3" s="1"/>
  <c r="BA413" i="3"/>
  <c r="BL416" i="3"/>
  <c r="BL418" i="3"/>
  <c r="G420" i="3"/>
  <c r="G433" i="3"/>
  <c r="BA434" i="3"/>
  <c r="BA435" i="3"/>
  <c r="AZ435" i="3" s="1"/>
  <c r="BA441" i="3"/>
  <c r="BA443" i="3"/>
  <c r="AZ443" i="3" s="1"/>
  <c r="BA448" i="3"/>
  <c r="BA454" i="3"/>
  <c r="BL454" i="3"/>
  <c r="BL455" i="3"/>
  <c r="BL467" i="3"/>
  <c r="G469" i="3"/>
  <c r="BA470" i="3"/>
  <c r="AZ470" i="3" s="1"/>
  <c r="BA477" i="3"/>
  <c r="G480" i="3"/>
  <c r="G481" i="3"/>
  <c r="G482" i="3"/>
  <c r="BA491" i="3"/>
  <c r="BL492" i="3"/>
  <c r="BL493" i="3"/>
  <c r="BA497" i="3"/>
  <c r="BL501" i="3"/>
  <c r="AZ501" i="3" s="1"/>
  <c r="BL510" i="3"/>
  <c r="G511" i="3"/>
  <c r="G512" i="3"/>
  <c r="BA517" i="3"/>
  <c r="AZ517" i="3" s="1"/>
  <c r="G522" i="3"/>
  <c r="BA522" i="3"/>
  <c r="AZ522" i="3" s="1"/>
  <c r="BL528" i="3"/>
  <c r="G529" i="3"/>
  <c r="BA530" i="3"/>
  <c r="AZ530" i="3" s="1"/>
  <c r="BL537" i="3"/>
  <c r="G539" i="3"/>
  <c r="G540" i="3"/>
  <c r="G541" i="3"/>
  <c r="G542" i="3"/>
  <c r="BA542" i="3"/>
  <c r="AZ542" i="3" s="1"/>
  <c r="BA572" i="3"/>
  <c r="BA573" i="3"/>
  <c r="AZ573" i="3" s="1"/>
  <c r="BA578" i="3"/>
  <c r="G581" i="3"/>
  <c r="G582" i="3"/>
  <c r="BA583" i="3"/>
  <c r="BL586" i="3"/>
  <c r="AZ586" i="3" s="1"/>
  <c r="B8" i="1"/>
  <c r="E8" i="1" s="1"/>
  <c r="S9" i="1"/>
  <c r="AR9" i="1" s="1"/>
  <c r="S10" i="1"/>
  <c r="AR10" i="1" s="1"/>
  <c r="R10" i="1"/>
  <c r="A124" i="9"/>
  <c r="A10" i="52" s="1"/>
  <c r="B55" i="72" s="1"/>
  <c r="C40" i="68"/>
  <c r="AC19" i="34"/>
  <c r="H23" i="34"/>
  <c r="AB23" i="34" s="1"/>
  <c r="H27" i="34"/>
  <c r="AB27" i="34" s="1"/>
  <c r="AB41" i="34"/>
  <c r="H46" i="34"/>
  <c r="AB46" i="34" s="1"/>
  <c r="AB15" i="21"/>
  <c r="AB29" i="21"/>
  <c r="AC36" i="21"/>
  <c r="H17" i="33"/>
  <c r="U17" i="33" s="1"/>
  <c r="J46" i="33"/>
  <c r="F87" i="33"/>
  <c r="G87" i="33" s="1"/>
  <c r="H87" i="33" s="1"/>
  <c r="I87" i="33" s="1"/>
  <c r="J87" i="33" s="1"/>
  <c r="K87" i="33" s="1"/>
  <c r="L87" i="33" s="1"/>
  <c r="M87" i="33" s="1"/>
  <c r="H25" i="33"/>
  <c r="AB25" i="33" s="1"/>
  <c r="E347" i="31"/>
  <c r="AC8" i="35"/>
  <c r="W8" i="35"/>
  <c r="BL420" i="3"/>
  <c r="BL422" i="3"/>
  <c r="G424" i="3"/>
  <c r="G426" i="3"/>
  <c r="BA426" i="3"/>
  <c r="AZ426" i="3" s="1"/>
  <c r="BA427" i="3"/>
  <c r="AZ427" i="3" s="1"/>
  <c r="BA429" i="3"/>
  <c r="BL432" i="3"/>
  <c r="BL434" i="3"/>
  <c r="G436" i="3"/>
  <c r="G438" i="3"/>
  <c r="BA438" i="3"/>
  <c r="AZ438" i="3" s="1"/>
  <c r="BA439" i="3"/>
  <c r="BL439" i="3"/>
  <c r="BA445" i="3"/>
  <c r="BA447" i="3"/>
  <c r="AZ447" i="3" s="1"/>
  <c r="BA453" i="3"/>
  <c r="BA455" i="3"/>
  <c r="AZ455" i="3" s="1"/>
  <c r="G457" i="3"/>
  <c r="BA458" i="3"/>
  <c r="AZ458" i="3" s="1"/>
  <c r="BL458" i="3"/>
  <c r="BA460" i="3"/>
  <c r="BA465" i="3"/>
  <c r="BA467" i="3"/>
  <c r="AZ467" i="3" s="1"/>
  <c r="G471" i="3"/>
  <c r="G473" i="3"/>
  <c r="G474" i="3"/>
  <c r="G475" i="3"/>
  <c r="G476" i="3"/>
  <c r="G477" i="3"/>
  <c r="G478" i="3"/>
  <c r="BA479" i="3"/>
  <c r="BA481" i="3"/>
  <c r="AZ481" i="3" s="1"/>
  <c r="G485" i="3"/>
  <c r="G486" i="3"/>
  <c r="BA486" i="3"/>
  <c r="AZ486" i="3" s="1"/>
  <c r="BA490" i="3"/>
  <c r="AZ490" i="3" s="1"/>
  <c r="BA493" i="3"/>
  <c r="BL497" i="3"/>
  <c r="G499" i="3"/>
  <c r="G500" i="3"/>
  <c r="G501" i="3"/>
  <c r="G502" i="3"/>
  <c r="BA502" i="3"/>
  <c r="AZ502" i="3" s="1"/>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G558" i="3"/>
  <c r="G560" i="3"/>
  <c r="BL560" i="3"/>
  <c r="G562" i="3"/>
  <c r="G564" i="3"/>
  <c r="BL564" i="3"/>
  <c r="G566" i="3"/>
  <c r="G568" i="3"/>
  <c r="BL568" i="3"/>
  <c r="G570" i="3"/>
  <c r="BL577" i="3"/>
  <c r="BL578" i="3"/>
  <c r="BL582" i="3"/>
  <c r="G586" i="3"/>
  <c r="K11" i="1"/>
  <c r="M11" i="1" s="1"/>
  <c r="H103" i="9"/>
  <c r="AC25" i="34"/>
  <c r="R24" i="77"/>
  <c r="R5" i="77" s="1"/>
  <c r="U5" i="77" s="1"/>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AA44" i="21"/>
  <c r="U23" i="33"/>
  <c r="AB23" i="33"/>
  <c r="S14" i="33"/>
  <c r="AA14" i="33"/>
  <c r="F111" i="33"/>
  <c r="G111" i="33" s="1"/>
  <c r="H111" i="33" s="1"/>
  <c r="I111" i="33" s="1"/>
  <c r="J111" i="33" s="1"/>
  <c r="K111" i="33" s="1"/>
  <c r="L111" i="33" s="1"/>
  <c r="M111" i="33" s="1"/>
  <c r="J36" i="33"/>
  <c r="E2" i="31"/>
  <c r="U10" i="37"/>
  <c r="AB10" i="37"/>
  <c r="AA19" i="37"/>
  <c r="H14" i="37"/>
  <c r="J14" i="37"/>
  <c r="W14" i="37" s="1"/>
  <c r="F14" i="37"/>
  <c r="J27" i="37"/>
  <c r="AC27" i="37" s="1"/>
  <c r="H27" i="37"/>
  <c r="AB27" i="37" s="1"/>
  <c r="F27" i="37"/>
  <c r="S27" i="37" s="1"/>
  <c r="S13" i="35"/>
  <c r="AA13" i="35"/>
  <c r="J23" i="35"/>
  <c r="H23" i="35"/>
  <c r="AB23" i="35" s="1"/>
  <c r="F23" i="35"/>
  <c r="AA23" i="35" s="1"/>
  <c r="AB9" i="36"/>
  <c r="U9" i="36"/>
  <c r="W14" i="36"/>
  <c r="AC14" i="36"/>
  <c r="U40" i="39"/>
  <c r="AB40" i="39"/>
  <c r="U28" i="40"/>
  <c r="AB28" i="40"/>
  <c r="D7" i="77"/>
  <c r="C26" i="77" s="1"/>
  <c r="AB36" i="21"/>
  <c r="AA43" i="21"/>
  <c r="U8" i="37"/>
  <c r="F12" i="37"/>
  <c r="S12" i="37" s="1"/>
  <c r="AB13" i="37"/>
  <c r="S26" i="37"/>
  <c r="AA31" i="37"/>
  <c r="J39" i="37"/>
  <c r="AC39" i="37" s="1"/>
  <c r="AB40" i="37"/>
  <c r="AB10" i="35"/>
  <c r="U10" i="35"/>
  <c r="AA30" i="35"/>
  <c r="AC35" i="35"/>
  <c r="W35" i="35"/>
  <c r="H11" i="36"/>
  <c r="U31" i="36"/>
  <c r="AB31" i="36"/>
  <c r="F9" i="36"/>
  <c r="J9" i="36"/>
  <c r="W9" i="36" s="1"/>
  <c r="AA31" i="39"/>
  <c r="AC42" i="39"/>
  <c r="J13" i="39"/>
  <c r="AC13" i="39" s="1"/>
  <c r="H13" i="39"/>
  <c r="AB13" i="39" s="1"/>
  <c r="J36" i="39"/>
  <c r="F36" i="39"/>
  <c r="S36" i="39" s="1"/>
  <c r="J33" i="40"/>
  <c r="AC33" i="40" s="1"/>
  <c r="H33" i="40"/>
  <c r="F33" i="40"/>
  <c r="S33" i="40" s="1"/>
  <c r="E44" i="43"/>
  <c r="C44" i="43" s="1"/>
  <c r="G18" i="43"/>
  <c r="V20" i="79"/>
  <c r="AJ20" i="79" s="1"/>
  <c r="V12" i="79"/>
  <c r="AJ12" i="79" s="1"/>
  <c r="AA8" i="37"/>
  <c r="AA21" i="37"/>
  <c r="AB23" i="37"/>
  <c r="U23" i="37"/>
  <c r="S39" i="37"/>
  <c r="AA39" i="37"/>
  <c r="AA8" i="35"/>
  <c r="W12" i="36"/>
  <c r="AC12" i="36"/>
  <c r="AC19" i="39"/>
  <c r="W19" i="39"/>
  <c r="AB32" i="39"/>
  <c r="J14" i="39"/>
  <c r="H14" i="39"/>
  <c r="W37" i="39"/>
  <c r="AC37"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F6" i="71"/>
  <c r="F5" i="71" s="1"/>
  <c r="AB19" i="71"/>
  <c r="AC28" i="40"/>
  <c r="I18" i="43"/>
  <c r="E93" i="43"/>
  <c r="B91" i="43" s="1"/>
  <c r="AR18" i="79"/>
  <c r="AR19" i="79" s="1"/>
  <c r="AR20" i="79" s="1"/>
  <c r="AR21" i="79" s="1"/>
  <c r="AR22" i="79" s="1"/>
  <c r="AR23" i="79" s="1"/>
  <c r="AR24" i="79" s="1"/>
  <c r="U5" i="79"/>
  <c r="AI5" i="79" s="1"/>
  <c r="T13" i="79"/>
  <c r="P13" i="79"/>
  <c r="R19" i="79"/>
  <c r="AF19" i="79" s="1"/>
  <c r="V19" i="79"/>
  <c r="AJ19" i="79" s="1"/>
  <c r="V18" i="79"/>
  <c r="AJ18" i="79" s="1"/>
  <c r="AD36" i="79"/>
  <c r="AA16" i="71"/>
  <c r="AA22" i="71"/>
  <c r="E44" i="71"/>
  <c r="U44" i="71" s="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D43" i="71"/>
  <c r="B56" i="71"/>
  <c r="S56" i="71" s="1"/>
  <c r="AB31" i="37"/>
  <c r="AA14" i="35"/>
  <c r="AA20" i="35"/>
  <c r="AA25" i="35"/>
  <c r="AA33" i="35"/>
  <c r="AA10" i="36"/>
  <c r="AA23" i="36"/>
  <c r="AA27" i="36"/>
  <c r="F34" i="36"/>
  <c r="AA32" i="39"/>
  <c r="H30" i="40"/>
  <c r="AA37" i="40"/>
  <c r="N3" i="43"/>
  <c r="M7" i="43"/>
  <c r="N9" i="43"/>
  <c r="J21" i="43"/>
  <c r="H52" i="43"/>
  <c r="C5" i="11"/>
  <c r="S6" i="79"/>
  <c r="AG6" i="79" s="1"/>
  <c r="U11" i="79"/>
  <c r="AI11" i="79" s="1"/>
  <c r="R16" i="79"/>
  <c r="AF16" i="79" s="1"/>
  <c r="V16" i="79"/>
  <c r="AJ16" i="79" s="1"/>
  <c r="T21" i="79"/>
  <c r="P21" i="79"/>
  <c r="U33" i="79"/>
  <c r="AI33" i="79" s="1"/>
  <c r="T34" i="79"/>
  <c r="W34" i="79" s="1"/>
  <c r="AK34" i="79" s="1"/>
  <c r="S35" i="79"/>
  <c r="AG35" i="79" s="1"/>
  <c r="T41" i="79"/>
  <c r="T31" i="79"/>
  <c r="W31" i="79" s="1"/>
  <c r="P41" i="79"/>
  <c r="M31" i="79"/>
  <c r="P31" i="79" s="1"/>
  <c r="S45" i="79"/>
  <c r="AG45" i="79" s="1"/>
  <c r="T51" i="79"/>
  <c r="P51" i="79"/>
  <c r="AA26" i="71"/>
  <c r="C35" i="71"/>
  <c r="D34" i="71"/>
  <c r="Y37" i="71"/>
  <c r="Z37" i="71" s="1"/>
  <c r="C38" i="71"/>
  <c r="B75" i="71"/>
  <c r="B74" i="71" s="1"/>
  <c r="S76" i="71"/>
  <c r="V76" i="71"/>
  <c r="R3" i="79"/>
  <c r="V3" i="79"/>
  <c r="T7" i="79"/>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R14" i="79"/>
  <c r="AF14" i="79" s="1"/>
  <c r="V14" i="79"/>
  <c r="AJ14" i="79" s="1"/>
  <c r="R15" i="79"/>
  <c r="AF15" i="79" s="1"/>
  <c r="V15" i="79"/>
  <c r="AJ15" i="79" s="1"/>
  <c r="S17" i="79"/>
  <c r="AG17" i="79" s="1"/>
  <c r="T23" i="79"/>
  <c r="S31" i="79"/>
  <c r="U36" i="79"/>
  <c r="AI36" i="79" s="1"/>
  <c r="S37" i="79"/>
  <c r="AG37" i="79" s="1"/>
  <c r="T39" i="79"/>
  <c r="S38" i="79"/>
  <c r="AG38" i="79" s="1"/>
  <c r="S43" i="79"/>
  <c r="AG43" i="79" s="1"/>
  <c r="S44" i="79"/>
  <c r="AG44" i="79" s="1"/>
  <c r="U46" i="79"/>
  <c r="AI46" i="79" s="1"/>
  <c r="AD47" i="79"/>
  <c r="AD48" i="79"/>
  <c r="U49" i="79"/>
  <c r="AI49" i="79" s="1"/>
  <c r="AD50" i="79"/>
  <c r="AA3" i="71"/>
  <c r="AA12" i="71"/>
  <c r="B63" i="71"/>
  <c r="B64" i="71" s="1"/>
  <c r="S64" i="71" s="1"/>
  <c r="Q68" i="71"/>
  <c r="D76" i="71"/>
  <c r="C82" i="71"/>
  <c r="D82" i="71" s="1"/>
  <c r="T5" i="79"/>
  <c r="R6" i="79"/>
  <c r="AF6" i="79" s="1"/>
  <c r="V6" i="79"/>
  <c r="AJ6" i="79" s="1"/>
  <c r="U8" i="79"/>
  <c r="AI8" i="79" s="1"/>
  <c r="S10" i="79"/>
  <c r="AG10" i="79" s="1"/>
  <c r="S13" i="79"/>
  <c r="AG13" i="79" s="1"/>
  <c r="S14" i="79"/>
  <c r="AG14" i="79" s="1"/>
  <c r="T17" i="79"/>
  <c r="AB31" i="79"/>
  <c r="U39" i="79"/>
  <c r="AI39" i="79" s="1"/>
  <c r="T43" i="79"/>
  <c r="AD45" i="79"/>
  <c r="S47" i="79"/>
  <c r="AG47" i="79" s="1"/>
  <c r="S48" i="79"/>
  <c r="AG48" i="79" s="1"/>
  <c r="AD49" i="79"/>
  <c r="Y3" i="71"/>
  <c r="Z3" i="71" s="1"/>
  <c r="X10" i="71"/>
  <c r="X11" i="71"/>
  <c r="F47" i="71"/>
  <c r="F48" i="71" s="1"/>
  <c r="V48" i="71" s="1"/>
  <c r="B51" i="71"/>
  <c r="B52" i="71" s="1"/>
  <c r="S52" i="71" s="1"/>
  <c r="N65" i="71"/>
  <c r="N68" i="71"/>
  <c r="D72" i="71"/>
  <c r="BA13" i="3"/>
  <c r="AZ13" i="3" s="1"/>
  <c r="BC5" i="3"/>
  <c r="D24" i="15"/>
  <c r="B23" i="1"/>
  <c r="D23" i="15"/>
  <c r="U21" i="33"/>
  <c r="AC10" i="33"/>
  <c r="W14" i="33"/>
  <c r="AB15" i="33"/>
  <c r="AB36" i="33"/>
  <c r="AA17" i="33"/>
  <c r="AA30" i="33"/>
  <c r="AA23" i="33"/>
  <c r="AA44" i="33"/>
  <c r="AA21" i="33"/>
  <c r="AA46" i="33"/>
  <c r="W30" i="33"/>
  <c r="W44" i="33"/>
  <c r="W38" i="33"/>
  <c r="AA40" i="33"/>
  <c r="AA43" i="33"/>
  <c r="W41" i="33"/>
  <c r="AA42" i="33"/>
  <c r="AC42" i="33"/>
  <c r="U41" i="33"/>
  <c r="AB39" i="33"/>
  <c r="AA39" i="33"/>
  <c r="W37" i="33"/>
  <c r="AB35" i="33"/>
  <c r="AB33" i="33"/>
  <c r="AA34" i="33"/>
  <c r="AC25" i="33"/>
  <c r="U25" i="33"/>
  <c r="AB11" i="33"/>
  <c r="H9" i="33"/>
  <c r="U8" i="33"/>
  <c r="W8" i="33"/>
  <c r="F34" i="68"/>
  <c r="G10" i="1"/>
  <c r="G7" i="1"/>
  <c r="G13" i="1"/>
  <c r="W8" i="34"/>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B15" i="78"/>
  <c r="E15" i="4"/>
  <c r="F6" i="1" s="1"/>
  <c r="I24" i="43" s="1"/>
  <c r="C24" i="43" s="1"/>
  <c r="BL15" i="3"/>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572" i="3"/>
  <c r="AZ576" i="3"/>
  <c r="AB28" i="34"/>
  <c r="U28" i="34"/>
  <c r="S33" i="34"/>
  <c r="H45" i="34"/>
  <c r="F45" i="34"/>
  <c r="AB14" i="21"/>
  <c r="U14" i="21"/>
  <c r="S32" i="21"/>
  <c r="AB35" i="21"/>
  <c r="U35" i="21"/>
  <c r="AZ18" i="3"/>
  <c r="BA342" i="3"/>
  <c r="AZ342" i="3" s="1"/>
  <c r="E4" i="31"/>
  <c r="F105" i="34"/>
  <c r="F4" i="31" s="1"/>
  <c r="U44" i="34"/>
  <c r="AB44" i="34"/>
  <c r="R41" i="77"/>
  <c r="R35" i="77" s="1"/>
  <c r="U34" i="77" s="1"/>
  <c r="AB9" i="21"/>
  <c r="U9" i="21"/>
  <c r="BA14" i="3"/>
  <c r="AZ14" i="3" s="1"/>
  <c r="BA24" i="3"/>
  <c r="AZ24" i="3" s="1"/>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AZ453" i="3" s="1"/>
  <c r="G454" i="3"/>
  <c r="BL456" i="3"/>
  <c r="AZ456" i="3" s="1"/>
  <c r="BL457" i="3"/>
  <c r="AZ457" i="3" s="1"/>
  <c r="G458" i="3"/>
  <c r="BL460" i="3"/>
  <c r="AZ460" i="3" s="1"/>
  <c r="BL461" i="3"/>
  <c r="AZ461" i="3" s="1"/>
  <c r="G462" i="3"/>
  <c r="BL464" i="3"/>
  <c r="AZ464" i="3" s="1"/>
  <c r="BL465" i="3"/>
  <c r="AZ465" i="3" s="1"/>
  <c r="G466" i="3"/>
  <c r="BL468" i="3"/>
  <c r="AZ468" i="3" s="1"/>
  <c r="BL469" i="3"/>
  <c r="AZ469" i="3" s="1"/>
  <c r="BA478" i="3"/>
  <c r="AZ478" i="3" s="1"/>
  <c r="G484" i="3"/>
  <c r="BL485" i="3"/>
  <c r="AZ485" i="3" s="1"/>
  <c r="AZ497" i="3"/>
  <c r="AZ513" i="3"/>
  <c r="AZ529" i="3"/>
  <c r="AZ545" i="3"/>
  <c r="B41" i="1"/>
  <c r="D78" i="9"/>
  <c r="AC32" i="34"/>
  <c r="W32" i="34"/>
  <c r="S46" i="34"/>
  <c r="AA46" i="34"/>
  <c r="F32" i="34"/>
  <c r="H32" i="34"/>
  <c r="AC44" i="21"/>
  <c r="H30" i="21"/>
  <c r="F30" i="21"/>
  <c r="J30" i="21"/>
  <c r="F28" i="6"/>
  <c r="AZ22" i="3"/>
  <c r="E5" i="6"/>
  <c r="D9" i="68" s="1"/>
  <c r="C9" i="68" s="1"/>
  <c r="G13" i="3"/>
  <c r="B24" i="31" s="1"/>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3" i="3" s="1"/>
  <c r="AZ477" i="3"/>
  <c r="BA482" i="3"/>
  <c r="AZ482" i="3" s="1"/>
  <c r="G488" i="3"/>
  <c r="BL489" i="3"/>
  <c r="AZ489" i="3" s="1"/>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P16" i="1"/>
  <c r="C11" i="12" s="1"/>
  <c r="C12" i="12" s="1"/>
  <c r="T10" i="1"/>
  <c r="T13" i="1"/>
  <c r="B25" i="31"/>
  <c r="B28" i="31"/>
  <c r="G5" i="3"/>
  <c r="B3" i="3" s="1"/>
  <c r="E20" i="3" s="1"/>
  <c r="B32" i="31"/>
  <c r="B27" i="31"/>
  <c r="B31" i="31"/>
  <c r="H5" i="3"/>
  <c r="BB5" i="3"/>
  <c r="B29" i="31"/>
  <c r="L27" i="6"/>
  <c r="O16" i="1"/>
  <c r="AR11" i="1"/>
  <c r="AQ11" i="1"/>
  <c r="T11"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8" i="15"/>
  <c r="F40" i="67"/>
  <c r="M9" i="67"/>
  <c r="M21" i="15"/>
  <c r="J15" i="15"/>
  <c r="M24" i="15"/>
  <c r="F16" i="15"/>
  <c r="F13" i="15"/>
  <c r="L48" i="15"/>
  <c r="C76" i="15"/>
  <c r="M6" i="15"/>
  <c r="C36" i="69"/>
  <c r="F9" i="15"/>
  <c r="F42" i="15"/>
  <c r="F37" i="15"/>
  <c r="F41" i="15"/>
  <c r="M6" i="67"/>
  <c r="F5" i="73"/>
  <c r="F26" i="67"/>
  <c r="M29" i="15"/>
  <c r="M28" i="15"/>
  <c r="F7" i="15"/>
  <c r="D7" i="73"/>
  <c r="F37" i="67"/>
  <c r="F43" i="15"/>
  <c r="L47" i="15"/>
  <c r="F35" i="15"/>
  <c r="F4" i="73"/>
  <c r="F27" i="69"/>
  <c r="F6" i="15"/>
  <c r="D5" i="73"/>
  <c r="F26" i="15"/>
  <c r="D6" i="73"/>
  <c r="D9" i="69"/>
  <c r="F40" i="15"/>
  <c r="F38" i="15"/>
  <c r="F6" i="73"/>
  <c r="M9" i="15"/>
  <c r="D4" i="73"/>
  <c r="F7" i="73"/>
  <c r="M23" i="67"/>
  <c r="F3" i="73"/>
  <c r="F36" i="15"/>
  <c r="M23" i="15"/>
  <c r="M27" i="15"/>
  <c r="M22" i="15"/>
  <c r="F8" i="15"/>
  <c r="M26" i="15"/>
  <c r="Q73" i="83" l="1"/>
  <c r="Q60" i="83"/>
  <c r="Q52" i="83"/>
  <c r="F1" i="83"/>
  <c r="Q66" i="83"/>
  <c r="Q57" i="83"/>
  <c r="Q61" i="83"/>
  <c r="Q74" i="83"/>
  <c r="AQ10" i="1"/>
  <c r="F29" i="6"/>
  <c r="E29" i="6" s="1"/>
  <c r="K15" i="1" s="1"/>
  <c r="AA15" i="33"/>
  <c r="AC15" i="33"/>
  <c r="W15" i="33"/>
  <c r="AB17"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C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32" i="77" s="1"/>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AE7" i="1"/>
  <c r="F41" i="86" s="1"/>
  <c r="F36" i="67"/>
  <c r="F8" i="67"/>
  <c r="M26" i="67"/>
  <c r="L48" i="67"/>
  <c r="G1" i="73"/>
  <c r="F42" i="67"/>
  <c r="C17" i="15"/>
  <c r="M8" i="67"/>
  <c r="F38" i="67"/>
  <c r="D3" i="73"/>
  <c r="F6" i="67"/>
  <c r="C14" i="15"/>
  <c r="C16" i="15"/>
  <c r="M24" i="67"/>
  <c r="F9" i="67"/>
  <c r="F13" i="67"/>
  <c r="J15" i="67"/>
  <c r="F16" i="67"/>
  <c r="C76" i="67"/>
  <c r="M28" i="67"/>
  <c r="L47" i="67"/>
  <c r="M22" i="67"/>
  <c r="M27" i="67"/>
  <c r="F69" i="86" l="1"/>
  <c r="M11" i="86"/>
  <c r="J10" i="86" s="1"/>
  <c r="J5"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B40" i="1"/>
  <c r="F24" i="86" s="1"/>
  <c r="Q74" i="15"/>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59" i="15"/>
  <c r="M17" i="15"/>
  <c r="J17" i="15" s="1"/>
  <c r="C33" i="15"/>
  <c r="C31" i="15" s="1"/>
  <c r="C49" i="15"/>
  <c r="C61" i="15" s="1"/>
  <c r="F1" i="15"/>
  <c r="J19" i="15"/>
  <c r="Q52" i="15"/>
  <c r="J5" i="15"/>
  <c r="J26" i="15" s="1"/>
  <c r="J29" i="15" s="1"/>
  <c r="F11" i="15"/>
  <c r="C10" i="15" s="1"/>
  <c r="C5" i="15" s="1"/>
  <c r="AC6" i="3"/>
  <c r="H6" i="3"/>
  <c r="E58" i="40"/>
  <c r="E62" i="39"/>
  <c r="E60" i="40"/>
  <c r="E64" i="39"/>
  <c r="E59" i="40"/>
  <c r="E63" i="39"/>
  <c r="D116" i="43"/>
  <c r="E57" i="40"/>
  <c r="E61" i="39"/>
  <c r="E60" i="39"/>
  <c r="E56" i="40"/>
  <c r="AY572" i="3"/>
  <c r="AY544" i="3"/>
  <c r="AY575" i="3"/>
  <c r="AY545" i="3"/>
  <c r="AY461" i="3"/>
  <c r="AY433" i="3"/>
  <c r="AY543" i="3"/>
  <c r="AY518" i="3"/>
  <c r="AY456" i="3"/>
  <c r="AY432" i="3"/>
  <c r="AY376" i="3"/>
  <c r="AY348" i="3"/>
  <c r="AY292" i="3"/>
  <c r="AY585" i="3"/>
  <c r="AY531" i="3"/>
  <c r="AY514" i="3"/>
  <c r="AY486" i="3"/>
  <c r="AY478" i="3"/>
  <c r="AY462" i="3"/>
  <c r="AY459" i="3"/>
  <c r="AY443" i="3"/>
  <c r="AY438" i="3"/>
  <c r="AY408" i="3"/>
  <c r="AY395" i="3"/>
  <c r="AY375" i="3"/>
  <c r="AY363" i="3"/>
  <c r="AY343" i="3"/>
  <c r="AY331" i="3"/>
  <c r="AY311" i="3"/>
  <c r="AY299" i="3"/>
  <c r="AY279" i="3"/>
  <c r="AY267" i="3"/>
  <c r="AY247" i="3"/>
  <c r="AY235" i="3"/>
  <c r="AY215" i="3"/>
  <c r="AY203" i="3"/>
  <c r="AY533" i="3"/>
  <c r="AY430" i="3"/>
  <c r="AY398" i="3"/>
  <c r="AY386" i="3"/>
  <c r="AY366" i="3"/>
  <c r="AY354" i="3"/>
  <c r="AY334" i="3"/>
  <c r="AY322" i="3"/>
  <c r="AY302" i="3"/>
  <c r="AY290" i="3"/>
  <c r="AY270" i="3"/>
  <c r="AY258" i="3"/>
  <c r="AY238" i="3"/>
  <c r="AY226" i="3"/>
  <c r="AY523" i="3"/>
  <c r="AY522" i="3"/>
  <c r="AY377" i="3"/>
  <c r="AY361" i="3"/>
  <c r="AY329" i="3"/>
  <c r="AY321" i="3"/>
  <c r="AY289" i="3"/>
  <c r="AY281" i="3"/>
  <c r="AY206" i="3"/>
  <c r="AY198" i="3"/>
  <c r="AY183" i="3"/>
  <c r="AY179" i="3"/>
  <c r="AY163" i="3"/>
  <c r="AY159" i="3"/>
  <c r="AY143" i="3"/>
  <c r="AY135" i="3"/>
  <c r="AY119" i="3"/>
  <c r="AY115" i="3"/>
  <c r="AY99" i="3"/>
  <c r="AY95" i="3"/>
  <c r="AY79" i="3"/>
  <c r="AY71" i="3"/>
  <c r="AY55" i="3"/>
  <c r="AY51" i="3"/>
  <c r="AY35" i="3"/>
  <c r="AY31" i="3"/>
  <c r="AY428" i="3"/>
  <c r="AY420" i="3"/>
  <c r="AY411" i="3"/>
  <c r="AY265" i="3"/>
  <c r="AY260" i="3"/>
  <c r="AY257" i="3"/>
  <c r="AY252" i="3"/>
  <c r="AY249" i="3"/>
  <c r="AY244" i="3"/>
  <c r="AY241" i="3"/>
  <c r="AY236" i="3"/>
  <c r="AY233" i="3"/>
  <c r="AY228" i="3"/>
  <c r="AY225" i="3"/>
  <c r="AY220" i="3"/>
  <c r="AY212" i="3"/>
  <c r="AY190" i="3"/>
  <c r="AY186" i="3"/>
  <c r="AY174" i="3"/>
  <c r="AY170" i="3"/>
  <c r="AY158" i="3"/>
  <c r="AY154" i="3"/>
  <c r="AY142" i="3"/>
  <c r="AY138" i="3"/>
  <c r="AY126" i="3"/>
  <c r="AY122" i="3"/>
  <c r="AY110" i="3"/>
  <c r="AY106" i="3"/>
  <c r="AY94" i="3"/>
  <c r="AY90" i="3"/>
  <c r="AY78" i="3"/>
  <c r="AY74" i="3"/>
  <c r="AY62" i="3"/>
  <c r="AY58" i="3"/>
  <c r="AY46" i="3"/>
  <c r="AY42" i="3"/>
  <c r="AY30" i="3"/>
  <c r="AY26" i="3"/>
  <c r="AY539" i="3"/>
  <c r="AY538" i="3"/>
  <c r="AY405" i="3"/>
  <c r="AY397" i="3"/>
  <c r="AY373" i="3"/>
  <c r="AY365" i="3"/>
  <c r="AY341" i="3"/>
  <c r="AY333" i="3"/>
  <c r="AY309" i="3"/>
  <c r="AY301" i="3"/>
  <c r="AY277" i="3"/>
  <c r="AY269" i="3"/>
  <c r="AY210" i="3"/>
  <c r="AY209" i="3"/>
  <c r="AY194" i="3"/>
  <c r="AY193" i="3"/>
  <c r="AY181" i="3"/>
  <c r="AY177" i="3"/>
  <c r="AY165" i="3"/>
  <c r="AY161" i="3"/>
  <c r="AY149" i="3"/>
  <c r="AY145" i="3"/>
  <c r="AY133" i="3"/>
  <c r="AY129" i="3"/>
  <c r="AY117" i="3"/>
  <c r="AY113" i="3"/>
  <c r="AY101" i="3"/>
  <c r="AY97" i="3"/>
  <c r="AY85" i="3"/>
  <c r="AY81" i="3"/>
  <c r="AY69" i="3"/>
  <c r="AY65" i="3"/>
  <c r="AY53" i="3"/>
  <c r="AY49" i="3"/>
  <c r="AY37" i="3"/>
  <c r="AY33" i="3"/>
  <c r="AY25" i="3"/>
  <c r="AY21" i="3"/>
  <c r="AY17" i="3"/>
  <c r="BM6" i="3"/>
  <c r="BI6" i="3"/>
  <c r="BE6" i="3"/>
  <c r="AY15" i="3"/>
  <c r="BT6" i="3"/>
  <c r="BP6" i="3"/>
  <c r="BD6" i="3"/>
  <c r="AY176" i="3"/>
  <c r="AY136" i="3"/>
  <c r="AY88" i="3"/>
  <c r="AY80" i="3"/>
  <c r="AY40" i="3"/>
  <c r="AY200" i="3"/>
  <c r="AY188" i="3"/>
  <c r="AY180" i="3"/>
  <c r="AY164" i="3"/>
  <c r="AY156" i="3"/>
  <c r="AY148" i="3"/>
  <c r="AY132" i="3"/>
  <c r="AY124" i="3"/>
  <c r="AY116" i="3"/>
  <c r="AY100" i="3"/>
  <c r="AY92" i="3"/>
  <c r="AY84" i="3"/>
  <c r="AY68" i="3"/>
  <c r="AY60" i="3"/>
  <c r="AY52"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53" i="86" l="1"/>
  <c r="C48" i="86" s="1"/>
  <c r="C10" i="86"/>
  <c r="C5" i="86" s="1"/>
  <c r="J26" i="86"/>
  <c r="J29" i="86" s="1"/>
  <c r="J24" i="86"/>
  <c r="C24" i="86"/>
  <c r="C23" i="86"/>
  <c r="C29" i="86" s="1"/>
  <c r="C53" i="83"/>
  <c r="F22" i="11"/>
  <c r="C23" i="11" s="1"/>
  <c r="F24"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F22" i="68"/>
  <c r="C44" i="68" s="1"/>
  <c r="D41" i="68" s="1"/>
  <c r="F24" i="15"/>
  <c r="C24" i="15" s="1"/>
  <c r="F24" i="67"/>
  <c r="C24" i="67" s="1"/>
  <c r="C44" i="11"/>
  <c r="D41" i="11" s="1"/>
  <c r="F25" i="12"/>
  <c r="C26" i="12" s="1"/>
  <c r="D25" i="12" s="1"/>
  <c r="L36" i="43"/>
  <c r="O36" i="43" s="1"/>
  <c r="H7" i="33"/>
  <c r="AB7" i="33" s="1"/>
  <c r="F22" i="69"/>
  <c r="C26" i="69" s="1"/>
  <c r="D22" i="69" s="1"/>
  <c r="H7" i="21"/>
  <c r="C53" i="15"/>
  <c r="C48" i="15" s="1"/>
  <c r="C66" i="15" s="1"/>
  <c r="Q73" i="67"/>
  <c r="C41" i="77"/>
  <c r="B2" i="77"/>
  <c r="B3" i="77" s="1"/>
  <c r="J7" i="21"/>
  <c r="AC7" i="21" s="1"/>
  <c r="V48" i="21" s="1"/>
  <c r="I48" i="21" s="1"/>
  <c r="J7" i="35"/>
  <c r="W7" i="35" s="1"/>
  <c r="F7" i="34"/>
  <c r="AA7" i="34" s="1"/>
  <c r="J7" i="36"/>
  <c r="J7" i="34"/>
  <c r="V12" i="71"/>
  <c r="E11" i="71"/>
  <c r="E10" i="71" s="1"/>
  <c r="E9" i="71" s="1"/>
  <c r="E8" i="71" s="1"/>
  <c r="E7" i="71" s="1"/>
  <c r="E6" i="71" s="1"/>
  <c r="E5" i="71" s="1"/>
  <c r="F7" i="21"/>
  <c r="S7" i="21" s="1"/>
  <c r="H7" i="35"/>
  <c r="U7" i="35" s="1"/>
  <c r="S16" i="71"/>
  <c r="B15" i="71"/>
  <c r="B14" i="71" s="1"/>
  <c r="B13" i="71" s="1"/>
  <c r="B12" i="71" s="1"/>
  <c r="H7" i="36"/>
  <c r="U7" i="36" s="1"/>
  <c r="D21" i="71"/>
  <c r="C20" i="71"/>
  <c r="J24" i="15"/>
  <c r="D17" i="12"/>
  <c r="C17" i="12" s="1"/>
  <c r="C14" i="12"/>
  <c r="C16" i="12" s="1"/>
  <c r="D20" i="12"/>
  <c r="C20" i="12" s="1"/>
  <c r="C18" i="12" s="1"/>
  <c r="D10" i="68"/>
  <c r="D10" i="11"/>
  <c r="C10" i="11" s="1"/>
  <c r="C32" i="67"/>
  <c r="C33" i="67"/>
  <c r="C20" i="11"/>
  <c r="D21" i="6"/>
  <c r="D26" i="6"/>
  <c r="D20" i="6"/>
  <c r="F7" i="37"/>
  <c r="W7" i="34"/>
  <c r="AC7" i="34"/>
  <c r="W7" i="21"/>
  <c r="F1" i="67"/>
  <c r="Q52" i="67"/>
  <c r="H7" i="37"/>
  <c r="D65" i="40"/>
  <c r="E63" i="40"/>
  <c r="J7" i="33"/>
  <c r="H7" i="34"/>
  <c r="AA7" i="21"/>
  <c r="R48" i="21" s="1"/>
  <c r="Q57" i="67"/>
  <c r="Q66" i="67"/>
  <c r="Q74" i="67"/>
  <c r="Q61" i="67"/>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F7" i="36"/>
  <c r="J7" i="37"/>
  <c r="F7" i="35"/>
  <c r="F7" i="33"/>
  <c r="C38" i="15"/>
  <c r="C60" i="15"/>
  <c r="C59" i="15" s="1"/>
  <c r="F7" i="83"/>
  <c r="M29" i="83"/>
  <c r="F43" i="83"/>
  <c r="D10" i="69"/>
  <c r="F43" i="67"/>
  <c r="M29" i="67"/>
  <c r="F7" i="67"/>
  <c r="C34" i="69"/>
  <c r="AE6" i="1"/>
  <c r="F41" i="83" s="1"/>
  <c r="C16" i="83"/>
  <c r="C24" i="11" l="1"/>
  <c r="C25" i="11"/>
  <c r="C26" i="11"/>
  <c r="D22" i="11" s="1"/>
  <c r="C36" i="86"/>
  <c r="J14" i="86"/>
  <c r="C13" i="86"/>
  <c r="C57" i="86"/>
  <c r="C64" i="86" s="1"/>
  <c r="Q49" i="86"/>
  <c r="J59" i="86"/>
  <c r="J60" i="86" s="1"/>
  <c r="C38" i="86"/>
  <c r="C66" i="86"/>
  <c r="F71" i="83"/>
  <c r="F31" i="83"/>
  <c r="F50" i="83"/>
  <c r="C6" i="83"/>
  <c r="M7" i="83"/>
  <c r="D23" i="6"/>
  <c r="D15" i="6"/>
  <c r="D14" i="6"/>
  <c r="D11" i="6"/>
  <c r="D5" i="6"/>
  <c r="D9" i="6"/>
  <c r="D29" i="6"/>
  <c r="D10" i="6"/>
  <c r="K16" i="1"/>
  <c r="F69" i="83"/>
  <c r="C24" i="83"/>
  <c r="D24" i="6"/>
  <c r="D6" i="6"/>
  <c r="D28" i="6"/>
  <c r="E61" i="40"/>
  <c r="D25" i="6"/>
  <c r="C18" i="4"/>
  <c r="D19" i="6"/>
  <c r="D22" i="6"/>
  <c r="D8" i="6"/>
  <c r="D13" i="6"/>
  <c r="AB7" i="36"/>
  <c r="T36" i="36" s="1"/>
  <c r="G36" i="36" s="1"/>
  <c r="F41" i="69"/>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F41" i="68"/>
  <c r="U7" i="33"/>
  <c r="C26" i="68"/>
  <c r="D22" i="68" s="1"/>
  <c r="C23" i="68"/>
  <c r="C23" i="15"/>
  <c r="C29" i="15" s="1"/>
  <c r="C13" i="15" s="1"/>
  <c r="C37" i="15" s="1"/>
  <c r="N36" i="43"/>
  <c r="Q36" i="43"/>
  <c r="C24" i="69"/>
  <c r="M36" i="43"/>
  <c r="L37" i="43"/>
  <c r="P37" i="43" s="1"/>
  <c r="C44" i="69"/>
  <c r="D41" i="69" s="1"/>
  <c r="P36" i="43"/>
  <c r="AC7" i="35"/>
  <c r="V38" i="35" s="1"/>
  <c r="I38" i="35" s="1"/>
  <c r="AB7" i="35"/>
  <c r="T38" i="35" s="1"/>
  <c r="G38" i="35" s="1"/>
  <c r="G42" i="35" s="1"/>
  <c r="H42" i="35" s="1"/>
  <c r="C22" i="1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67"/>
  <c r="C16" i="67"/>
  <c r="C56" i="86" l="1"/>
  <c r="C65" i="86" s="1"/>
  <c r="C58" i="86" s="1"/>
  <c r="C67" i="86" s="1"/>
  <c r="C68" i="86" s="1"/>
  <c r="C75" i="86"/>
  <c r="Q70" i="86"/>
  <c r="C37" i="86"/>
  <c r="C30" i="86" s="1"/>
  <c r="C39" i="86" s="1"/>
  <c r="Q48" i="86"/>
  <c r="L46" i="86"/>
  <c r="J22" i="86"/>
  <c r="J13" i="86"/>
  <c r="J23" i="86" s="1"/>
  <c r="M20" i="6"/>
  <c r="I20" i="6" s="1"/>
  <c r="S7" i="1"/>
  <c r="M21" i="6"/>
  <c r="I21" i="6" s="1"/>
  <c r="S8" i="1"/>
  <c r="D30" i="6"/>
  <c r="C31" i="83"/>
  <c r="C10" i="83"/>
  <c r="C5" i="83" s="1"/>
  <c r="C38" i="83" s="1"/>
  <c r="F59" i="83"/>
  <c r="C49" i="83"/>
  <c r="D16" i="6"/>
  <c r="D27" i="6"/>
  <c r="J6" i="83"/>
  <c r="M17" i="83"/>
  <c r="C34" i="68"/>
  <c r="C35" i="68" s="1"/>
  <c r="L16" i="1"/>
  <c r="N16" i="1"/>
  <c r="F50" i="68" s="1"/>
  <c r="G43" i="35"/>
  <c r="H43" i="35" s="1"/>
  <c r="I42" i="35"/>
  <c r="J42" i="35" s="1"/>
  <c r="D31" i="6"/>
  <c r="I5" i="6"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H21" i="6"/>
  <c r="R21" i="6" s="1"/>
  <c r="R8" i="1" s="1"/>
  <c r="S25" i="6"/>
  <c r="H25" i="6"/>
  <c r="R25" i="6" s="1"/>
  <c r="J6" i="67"/>
  <c r="M17" i="67"/>
  <c r="AA34" i="34"/>
  <c r="R49" i="34" s="1"/>
  <c r="E49" i="34" s="1"/>
  <c r="E53" i="34" s="1"/>
  <c r="F53" i="34" s="1"/>
  <c r="S34" i="34"/>
  <c r="S20" i="6"/>
  <c r="H20" i="6"/>
  <c r="R20" i="6" s="1"/>
  <c r="R7" i="1" s="1"/>
  <c r="M19" i="6"/>
  <c r="K27" i="6"/>
  <c r="S6" i="1"/>
  <c r="C49" i="67"/>
  <c r="F59" i="67"/>
  <c r="U28" i="33"/>
  <c r="AB28" i="33"/>
  <c r="AA32" i="33"/>
  <c r="S32" i="33"/>
  <c r="W32" i="33"/>
  <c r="AC32" i="33"/>
  <c r="F28" i="33"/>
  <c r="F31" i="33"/>
  <c r="H31" i="33"/>
  <c r="J31" i="33"/>
  <c r="AB32" i="33"/>
  <c r="U32" i="33"/>
  <c r="Q49" i="15"/>
  <c r="C57" i="15"/>
  <c r="C64" i="15" s="1"/>
  <c r="J14" i="15"/>
  <c r="J13" i="15" s="1"/>
  <c r="J23" i="15" s="1"/>
  <c r="J59" i="15"/>
  <c r="J60" i="15" s="1"/>
  <c r="Q48" i="15" s="1"/>
  <c r="C36" i="15"/>
  <c r="C30" i="15" s="1"/>
  <c r="C39" i="15" s="1"/>
  <c r="Q69" i="15" s="1"/>
  <c r="N37" i="43"/>
  <c r="Q37" i="43"/>
  <c r="M37" i="43"/>
  <c r="O37" i="43"/>
  <c r="D19" i="71"/>
  <c r="C18" i="71"/>
  <c r="F69" i="67"/>
  <c r="C33" i="69"/>
  <c r="C39" i="69" s="1"/>
  <c r="C43" i="69" s="1"/>
  <c r="C22" i="12"/>
  <c r="C35" i="11"/>
  <c r="C38" i="11"/>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F35" i="86"/>
  <c r="M21" i="86"/>
  <c r="C17" i="83"/>
  <c r="C14" i="83"/>
  <c r="C17" i="67"/>
  <c r="E6" i="76"/>
  <c r="C14" i="67"/>
  <c r="C80" i="86" l="1"/>
  <c r="C79" i="86" s="1"/>
  <c r="J20" i="86"/>
  <c r="F63" i="86"/>
  <c r="C71" i="86"/>
  <c r="H40" i="86"/>
  <c r="C40" i="86"/>
  <c r="C45" i="86" s="1"/>
  <c r="C46" i="86" s="1"/>
  <c r="Q69" i="86"/>
  <c r="Q68" i="86" s="1"/>
  <c r="J16" i="86"/>
  <c r="J25" i="86" s="1"/>
  <c r="AR7" i="1"/>
  <c r="T7" i="1"/>
  <c r="AQ7" i="1"/>
  <c r="AR8" i="1"/>
  <c r="T8" i="1"/>
  <c r="AQ8" i="1"/>
  <c r="C15" i="83"/>
  <c r="C18" i="83"/>
  <c r="J18" i="83"/>
  <c r="J17" i="83"/>
  <c r="J19" i="83"/>
  <c r="J5" i="83"/>
  <c r="C59" i="83"/>
  <c r="C48" i="83"/>
  <c r="C66" i="83" s="1"/>
  <c r="C38" i="68"/>
  <c r="C33" i="68" s="1"/>
  <c r="C42" i="68" s="1"/>
  <c r="I54" i="34"/>
  <c r="J54" i="34" s="1"/>
  <c r="F50" i="69"/>
  <c r="I6" i="6"/>
  <c r="F50" i="11"/>
  <c r="C58" i="15"/>
  <c r="C67" i="15" s="1"/>
  <c r="C68" i="15" s="1"/>
  <c r="C71" i="15" s="1"/>
  <c r="C15" i="67"/>
  <c r="C18" i="67"/>
  <c r="G49" i="34"/>
  <c r="R50" i="34"/>
  <c r="C50" i="34" s="1"/>
  <c r="C30" i="12"/>
  <c r="C28" i="12" s="1"/>
  <c r="C61" i="67"/>
  <c r="C48" i="67"/>
  <c r="C66" i="67" s="1"/>
  <c r="C29" i="68"/>
  <c r="D27" i="68" s="1"/>
  <c r="C47" i="68"/>
  <c r="D45" i="68" s="1"/>
  <c r="F45" i="68"/>
  <c r="U10" i="39"/>
  <c r="AB10" i="39"/>
  <c r="AQ6" i="1"/>
  <c r="S16" i="1"/>
  <c r="E6" i="70"/>
  <c r="E2" i="70" s="1"/>
  <c r="T6" i="1"/>
  <c r="T16" i="1" s="1"/>
  <c r="AR6" i="1"/>
  <c r="J18" i="67"/>
  <c r="J5" i="67"/>
  <c r="J19" i="67"/>
  <c r="C29" i="11"/>
  <c r="D27" i="11" s="1"/>
  <c r="C28" i="11"/>
  <c r="C27" i="11" s="1"/>
  <c r="C47" i="11"/>
  <c r="D45" i="11" s="1"/>
  <c r="AA10" i="40"/>
  <c r="S10" i="40"/>
  <c r="S10" i="39"/>
  <c r="AA10" i="39"/>
  <c r="AB10" i="40"/>
  <c r="U10" i="40"/>
  <c r="AC10" i="40"/>
  <c r="W10" i="40"/>
  <c r="I19" i="6"/>
  <c r="M27" i="6"/>
  <c r="AC10" i="39"/>
  <c r="W10" i="39"/>
  <c r="AB31" i="33"/>
  <c r="U31" i="33"/>
  <c r="S31" i="33"/>
  <c r="AA31" i="33"/>
  <c r="T48" i="33"/>
  <c r="G48" i="33" s="1"/>
  <c r="AA28" i="33"/>
  <c r="R48" i="33" s="1"/>
  <c r="S28" i="33"/>
  <c r="AC31" i="33"/>
  <c r="V48" i="33" s="1"/>
  <c r="I48" i="33" s="1"/>
  <c r="I52" i="33" s="1"/>
  <c r="J52" i="33" s="1"/>
  <c r="W31" i="33"/>
  <c r="L46" i="15"/>
  <c r="J22" i="15"/>
  <c r="J16" i="15" s="1"/>
  <c r="J25" i="15" s="1"/>
  <c r="D18" i="71"/>
  <c r="C17" i="71"/>
  <c r="C42" i="69"/>
  <c r="C41" i="69" s="1"/>
  <c r="C27" i="12"/>
  <c r="C25" i="12"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L51" i="86"/>
  <c r="B6" i="76"/>
  <c r="L51" i="15"/>
  <c r="Q67" i="86" l="1"/>
  <c r="Q65" i="86"/>
  <c r="Q75" i="86" s="1"/>
  <c r="Q47" i="86"/>
  <c r="Q53" i="86" s="1"/>
  <c r="C43" i="86"/>
  <c r="Q56" i="86"/>
  <c r="Q62" i="86" s="1"/>
  <c r="D2" i="86"/>
  <c r="C83" i="86"/>
  <c r="C82" i="86" s="1"/>
  <c r="C19" i="83"/>
  <c r="C20" i="83" s="1"/>
  <c r="C26" i="83" s="1"/>
  <c r="J26" i="83"/>
  <c r="J29" i="83" s="1"/>
  <c r="J24" i="83"/>
  <c r="C31" i="11"/>
  <c r="Q67" i="15"/>
  <c r="L57" i="15"/>
  <c r="L60" i="15" s="1"/>
  <c r="Q66" i="15" s="1"/>
  <c r="Q75" i="15" s="1"/>
  <c r="C19" i="67"/>
  <c r="C20" i="67" s="1"/>
  <c r="C26" i="67" s="1"/>
  <c r="Q56" i="15"/>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B2" i="86" l="1"/>
  <c r="B3" i="86"/>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AO8" i="1"/>
  <c r="C19" i="81"/>
  <c r="C19" i="9"/>
  <c r="B3" i="69"/>
  <c r="B8" i="70" l="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M21" i="83"/>
  <c r="F35" i="83"/>
  <c r="F35" i="67"/>
  <c r="C20" i="9"/>
  <c r="M21" i="67"/>
  <c r="C103" i="81" l="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C80" i="83" l="1"/>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C45" i="83" l="1"/>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B2" i="83" l="1"/>
  <c r="B3" i="83"/>
  <c r="B2" i="67"/>
  <c r="D103" i="9"/>
  <c r="G20" i="9"/>
  <c r="C32" i="9" s="1"/>
  <c r="I118" i="9" s="1"/>
  <c r="D11" i="71"/>
  <c r="C10" i="71"/>
  <c r="N65" i="40"/>
  <c r="O63" i="40"/>
  <c r="O65" i="40" s="1"/>
  <c r="N69" i="39"/>
  <c r="O67" i="39"/>
  <c r="O69" i="39" s="1"/>
  <c r="D19" i="84"/>
  <c r="D20" i="84"/>
  <c r="D34" i="84"/>
  <c r="D35" i="84"/>
  <c r="D20" i="81"/>
  <c r="AO7" i="1"/>
  <c r="D34" i="81"/>
  <c r="D35" i="81"/>
  <c r="D19" i="81"/>
  <c r="AO6" i="1"/>
  <c r="D35" i="9"/>
  <c r="D34" i="9"/>
  <c r="D19" i="9"/>
  <c r="H118" i="9" l="1"/>
  <c r="D14" i="74" s="1"/>
  <c r="E14" i="74"/>
  <c r="D103" i="84"/>
  <c r="G20" i="84"/>
  <c r="C32" i="84" s="1"/>
  <c r="D102" i="84"/>
  <c r="D21" i="84"/>
  <c r="D22" i="84"/>
  <c r="G19" i="84"/>
  <c r="G21" i="84" s="1"/>
  <c r="G20" i="81"/>
  <c r="C32" i="81" s="1"/>
  <c r="C35" i="81" s="1"/>
  <c r="G118" i="81" s="1"/>
  <c r="F118" i="81" s="1"/>
  <c r="F119" i="81" s="1"/>
  <c r="D103" i="81"/>
  <c r="B7" i="70"/>
  <c r="D21" i="81"/>
  <c r="D102" i="81"/>
  <c r="D22" i="81"/>
  <c r="G19" i="81"/>
  <c r="G21" i="81" s="1"/>
  <c r="B6" i="70"/>
  <c r="B2" i="70" s="1"/>
  <c r="B3" i="70" s="1"/>
  <c r="D22" i="9"/>
  <c r="G19" i="9"/>
  <c r="G21" i="9" s="1"/>
  <c r="D102" i="9"/>
  <c r="D21" i="9"/>
  <c r="C35" i="9"/>
  <c r="D10" i="71"/>
  <c r="C9" i="71"/>
  <c r="H102" i="9"/>
  <c r="C105" i="9"/>
  <c r="I4" i="52"/>
  <c r="J7" i="39"/>
  <c r="F7" i="39"/>
  <c r="H7" i="39"/>
  <c r="F7" i="40"/>
  <c r="H7" i="40"/>
  <c r="J7" i="40"/>
  <c r="I118" i="81" l="1"/>
  <c r="I118" i="84"/>
  <c r="C35" i="84"/>
  <c r="G118" i="84" s="1"/>
  <c r="F118" i="84" s="1"/>
  <c r="F119" i="84" s="1"/>
  <c r="C34" i="81"/>
  <c r="H102" i="81"/>
  <c r="E118" i="81"/>
  <c r="D118" i="81" s="1"/>
  <c r="D119" i="81" s="1"/>
  <c r="H118" i="81"/>
  <c r="C105" i="81"/>
  <c r="G118" i="9"/>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H118" i="84" l="1"/>
  <c r="H102" i="84"/>
  <c r="E118" i="84"/>
  <c r="D118" i="84" s="1"/>
  <c r="D119" i="84" s="1"/>
  <c r="C105" i="84"/>
  <c r="C34" i="84"/>
  <c r="C104" i="81"/>
  <c r="H119" i="81"/>
  <c r="H101" i="81"/>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H119" i="84" l="1"/>
  <c r="C104" i="84"/>
  <c r="H101" i="84"/>
  <c r="D45" i="81"/>
  <c r="M48" i="81"/>
  <c r="H107" i="81"/>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M48" i="84" l="1"/>
  <c r="D45" i="84"/>
  <c r="H107" i="84"/>
  <c r="M49" i="81"/>
  <c r="D122" i="81"/>
  <c r="D123" i="81" s="1"/>
  <c r="H108" i="81"/>
  <c r="C78" i="81"/>
  <c r="C73" i="81" s="1"/>
  <c r="D52" i="81"/>
  <c r="D59" i="81"/>
  <c r="M55" i="81" s="1"/>
  <c r="D55" i="81"/>
  <c r="M53" i="81" s="1"/>
  <c r="D53" i="81"/>
  <c r="C93" i="81"/>
  <c r="C86" i="81" s="1"/>
  <c r="C64" i="81"/>
  <c r="C63" i="81" s="1"/>
  <c r="C67" i="81" s="1"/>
  <c r="C68" i="81" s="1"/>
  <c r="D54" i="81" s="1"/>
  <c r="D48" i="81" s="1"/>
  <c r="M52" i="81" s="1"/>
  <c r="C85" i="81"/>
  <c r="C72" i="81"/>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122" i="84" l="1"/>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C79" i="81"/>
  <c r="C95" i="81"/>
  <c r="C96" i="81" s="1"/>
  <c r="E96" i="81" s="1"/>
  <c r="E97" i="81" s="1"/>
  <c r="L65" i="81"/>
  <c r="M65" i="81" s="1"/>
  <c r="L63" i="81"/>
  <c r="M63" i="81" s="1"/>
  <c r="L68" i="81"/>
  <c r="M68" i="81" s="1"/>
  <c r="L67" i="81"/>
  <c r="M67" i="81" s="1"/>
  <c r="L66" i="81"/>
  <c r="M66" i="81" s="1"/>
  <c r="L64" i="81"/>
  <c r="M64" i="81" s="1"/>
  <c r="D5" i="71"/>
  <c r="M24" i="43" s="1"/>
  <c r="C81" i="9"/>
  <c r="D58" i="9" s="1"/>
  <c r="D56" i="9" s="1"/>
  <c r="M54" i="9" s="1"/>
  <c r="N57" i="9" s="1"/>
  <c r="N59" i="9" s="1"/>
  <c r="C96" i="9"/>
  <c r="E96" i="9" s="1"/>
  <c r="E97" i="9" s="1"/>
  <c r="M69" i="9"/>
  <c r="N69" i="9" s="1"/>
  <c r="G14" i="74"/>
  <c r="B6" i="74" s="1"/>
  <c r="F14" i="74"/>
  <c r="B5" i="74"/>
  <c r="E5" i="74" s="1"/>
  <c r="F5" i="74" s="1"/>
  <c r="C95" i="84" l="1"/>
  <c r="C80" i="81"/>
  <c r="E80" i="81" s="1"/>
  <c r="E81" i="81" s="1"/>
  <c r="C79" i="84"/>
  <c r="L63" i="84"/>
  <c r="M63" i="84" s="1"/>
  <c r="L68" i="84"/>
  <c r="M68" i="84" s="1"/>
  <c r="L67" i="84"/>
  <c r="M67" i="84" s="1"/>
  <c r="L65" i="84"/>
  <c r="M65" i="84" s="1"/>
  <c r="L66" i="84"/>
  <c r="M66" i="84" s="1"/>
  <c r="L64" i="84"/>
  <c r="M64" i="84" s="1"/>
  <c r="C96" i="84"/>
  <c r="E96" i="84" s="1"/>
  <c r="E97" i="84" s="1"/>
  <c r="C97" i="81"/>
  <c r="M69" i="81"/>
  <c r="N69" i="81" s="1"/>
  <c r="N61" i="9"/>
  <c r="H112" i="9" s="1"/>
  <c r="D21" i="53" s="1"/>
  <c r="B39" i="72" s="1"/>
  <c r="C97" i="9"/>
  <c r="T24" i="31"/>
  <c r="T22" i="31" s="1"/>
  <c r="N58" i="9"/>
  <c r="N60" i="9"/>
  <c r="P57" i="9"/>
  <c r="H111" i="9"/>
  <c r="D19" i="53" s="1"/>
  <c r="D6" i="74"/>
  <c r="C6" i="74"/>
  <c r="D5" i="74"/>
  <c r="C5" i="74"/>
  <c r="C81" i="81" l="1"/>
  <c r="D58" i="81" s="1"/>
  <c r="D56" i="81" s="1"/>
  <c r="M54" i="81" s="1"/>
  <c r="N57" i="81" s="1"/>
  <c r="C97" i="84"/>
  <c r="M69" i="84"/>
  <c r="N69" i="84" s="1"/>
  <c r="C80" i="84"/>
  <c r="E80" i="84" s="1"/>
  <c r="E81" i="84" s="1"/>
  <c r="C81" i="84"/>
  <c r="D58" i="84" s="1"/>
  <c r="D56" i="84" s="1"/>
  <c r="M54" i="84" s="1"/>
  <c r="N57" i="84" s="1"/>
  <c r="U24" i="31"/>
  <c r="D126" i="9"/>
  <c r="D127" i="9" s="1"/>
  <c r="D13" i="52" s="1"/>
  <c r="B38" i="72"/>
  <c r="D20" i="53"/>
  <c r="B40" i="72" s="1"/>
  <c r="U22" i="31"/>
  <c r="B8" i="74"/>
  <c r="E8" i="74" s="1"/>
  <c r="F8" i="74" s="1"/>
  <c r="N58" i="81" l="1"/>
  <c r="P57" i="81"/>
  <c r="N59" i="81"/>
  <c r="P57" i="84"/>
  <c r="N58" i="84"/>
  <c r="N59" i="84"/>
  <c r="D12" i="52"/>
  <c r="C8" i="74"/>
  <c r="D8" i="74"/>
  <c r="N60" i="81" l="1"/>
  <c r="N61" i="81"/>
  <c r="N60" i="84"/>
  <c r="N61"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9E03B09-12B6-4630-8139-185B611DCF20}">
      <text>
        <r>
          <rPr>
            <sz val="12"/>
            <rFont val="楷体_GB2312"/>
            <family val="3"/>
            <charset val="134"/>
          </rPr>
          <t>不分项目类型时为空即可</t>
        </r>
        <r>
          <rPr>
            <sz val="9"/>
            <rFont val="宋体"/>
            <family val="3"/>
            <charset val="134"/>
          </rPr>
          <t xml:space="preserve">
</t>
        </r>
      </text>
    </comment>
    <comment ref="L18" authorId="0" shapeId="0" xr:uid="{A7C89FC7-62F4-44CB-8C08-EE19F53F0E41}">
      <text>
        <r>
          <rPr>
            <sz val="12"/>
            <rFont val="宋体"/>
            <family val="3"/>
            <charset val="134"/>
          </rPr>
          <t>C1单元格选空即为估价对象全部</t>
        </r>
        <r>
          <rPr>
            <sz val="9"/>
            <rFont val="宋体"/>
            <family val="3"/>
            <charset val="134"/>
          </rPr>
          <t xml:space="preserve">
</t>
        </r>
      </text>
    </comment>
    <comment ref="A24" authorId="1" shapeId="0" xr:uid="{BE193C7A-269C-4ACE-A6E1-CC78CDA77046}">
      <text>
        <r>
          <rPr>
            <sz val="11"/>
            <rFont val="宋体"/>
            <family val="3"/>
            <charset val="134"/>
          </rPr>
          <t>需在下方列示计算过程</t>
        </r>
        <r>
          <rPr>
            <sz val="9"/>
            <rFont val="宋体"/>
            <family val="3"/>
            <charset val="134"/>
          </rPr>
          <t xml:space="preserve">
</t>
        </r>
      </text>
    </comment>
    <comment ref="H75" authorId="2" shapeId="0" xr:uid="{C4968154-AC7D-4A96-82C4-93C8E77037C9}">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FCCC39A-93CA-4A4A-9045-F7DE3C75B55D}">
      <text>
        <r>
          <rPr>
            <b/>
            <sz val="9"/>
            <rFont val="宋体"/>
            <family val="3"/>
            <charset val="134"/>
          </rPr>
          <t>权重验证</t>
        </r>
        <r>
          <rPr>
            <sz val="9"/>
            <rFont val="宋体"/>
            <family val="3"/>
            <charset val="134"/>
          </rPr>
          <t xml:space="preserve">
</t>
        </r>
      </text>
    </comment>
    <comment ref="C58" authorId="1" shapeId="0" xr:uid="{297E68EF-10F2-4125-AB18-8673C1FD04A9}">
      <text>
        <r>
          <rPr>
            <b/>
            <sz val="12"/>
            <rFont val="宋体"/>
            <family val="3"/>
            <charset val="134"/>
          </rPr>
          <t>价值时点所在月度</t>
        </r>
        <r>
          <rPr>
            <sz val="12"/>
            <rFont val="宋体"/>
            <family val="3"/>
            <charset val="134"/>
          </rPr>
          <t xml:space="preserve">
</t>
        </r>
      </text>
    </comment>
    <comment ref="B102" authorId="1" shapeId="0" xr:uid="{10897F03-A302-45D5-91BE-A44343FB3A47}">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1DD0E99-57BA-437C-9B49-2A31BFC72400}">
      <text>
        <r>
          <rPr>
            <sz val="11"/>
            <rFont val="宋体"/>
            <family val="3"/>
            <charset val="134"/>
          </rPr>
          <t>依据一般经验，应比建筑物资本化率高0.5%</t>
        </r>
        <r>
          <rPr>
            <sz val="9"/>
            <rFont val="宋体"/>
            <family val="3"/>
            <charset val="134"/>
          </rPr>
          <t xml:space="preserve">
</t>
        </r>
      </text>
    </comment>
    <comment ref="L52" authorId="0" shapeId="0" xr:uid="{1DBFE93F-161A-4EA2-8452-BB686DEA8440}">
      <text>
        <r>
          <rPr>
            <sz val="10"/>
            <rFont val="宋体"/>
            <family val="3"/>
            <charset val="134"/>
          </rPr>
          <t xml:space="preserve">需注意，采用基准地价系数修正法中土地结果计算时，土地报酬率应采用该方法中报酬率（还原率）。
</t>
        </r>
      </text>
    </comment>
    <comment ref="L55" authorId="0" shapeId="0" xr:uid="{5A7F629D-4340-4602-A8E4-AD3C95FB4C4E}">
      <text>
        <r>
          <rPr>
            <sz val="11"/>
            <rFont val="宋体"/>
            <family val="3"/>
            <charset val="134"/>
          </rPr>
          <t>采用租约时，尽量不选用收益还原法</t>
        </r>
        <r>
          <rPr>
            <sz val="9"/>
            <rFont val="宋体"/>
            <family val="3"/>
            <charset val="134"/>
          </rPr>
          <t xml:space="preserve">
</t>
        </r>
      </text>
    </comment>
    <comment ref="I56" authorId="0" shapeId="0" xr:uid="{31E0C9C3-5B91-42ED-A348-55DAD390AE26}">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784B042-4596-4D72-A493-12CEC3FE8695}">
      <text>
        <r>
          <rPr>
            <sz val="12"/>
            <rFont val="楷体_GB2312"/>
            <family val="3"/>
            <charset val="134"/>
          </rPr>
          <t>不分项目类型时为空即可</t>
        </r>
        <r>
          <rPr>
            <sz val="9"/>
            <rFont val="宋体"/>
            <family val="3"/>
            <charset val="134"/>
          </rPr>
          <t xml:space="preserve">
</t>
        </r>
      </text>
    </comment>
    <comment ref="L18" authorId="0" shapeId="0" xr:uid="{17160E98-D29E-474F-92A0-938F4421D441}">
      <text>
        <r>
          <rPr>
            <sz val="12"/>
            <rFont val="宋体"/>
            <family val="3"/>
            <charset val="134"/>
          </rPr>
          <t>C1单元格选空即为估价对象全部</t>
        </r>
        <r>
          <rPr>
            <sz val="9"/>
            <rFont val="宋体"/>
            <family val="3"/>
            <charset val="134"/>
          </rPr>
          <t xml:space="preserve">
</t>
        </r>
      </text>
    </comment>
    <comment ref="A24" authorId="1" shapeId="0" xr:uid="{64B7C392-63B6-4A4D-A5DB-A28FA50C1BFF}">
      <text>
        <r>
          <rPr>
            <sz val="11"/>
            <rFont val="宋体"/>
            <family val="3"/>
            <charset val="134"/>
          </rPr>
          <t>需在下方列示计算过程</t>
        </r>
        <r>
          <rPr>
            <sz val="9"/>
            <rFont val="宋体"/>
            <family val="3"/>
            <charset val="134"/>
          </rPr>
          <t xml:space="preserve">
</t>
        </r>
      </text>
    </comment>
    <comment ref="H75" authorId="2" shapeId="0" xr:uid="{F86B4702-DD68-47E4-A967-3E957EB37427}">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22419D57-7C4A-4692-90BC-6367BF3052F5}">
      <text>
        <r>
          <rPr>
            <b/>
            <sz val="9"/>
            <rFont val="宋体"/>
            <family val="3"/>
            <charset val="134"/>
          </rPr>
          <t>权重验证</t>
        </r>
        <r>
          <rPr>
            <sz val="9"/>
            <rFont val="宋体"/>
            <family val="3"/>
            <charset val="134"/>
          </rPr>
          <t xml:space="preserve">
</t>
        </r>
      </text>
    </comment>
    <comment ref="C58" authorId="1" shapeId="0" xr:uid="{5FE208A8-A92E-4C06-9CD4-B08CD57708FC}">
      <text>
        <r>
          <rPr>
            <b/>
            <sz val="12"/>
            <rFont val="宋体"/>
            <family val="3"/>
            <charset val="134"/>
          </rPr>
          <t>价值时点所在月度</t>
        </r>
        <r>
          <rPr>
            <sz val="12"/>
            <rFont val="宋体"/>
            <family val="3"/>
            <charset val="134"/>
          </rPr>
          <t xml:space="preserve">
</t>
        </r>
      </text>
    </comment>
    <comment ref="B102" authorId="1" shapeId="0" xr:uid="{DD57C7AE-90B3-4609-8627-918173B55A37}">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2A7D3198-46D7-4D74-B970-49135F965B41}">
      <text>
        <r>
          <rPr>
            <sz val="11"/>
            <rFont val="宋体"/>
            <family val="3"/>
            <charset val="134"/>
          </rPr>
          <t>依据一般经验，应比建筑物资本化率高0.5%</t>
        </r>
        <r>
          <rPr>
            <sz val="9"/>
            <rFont val="宋体"/>
            <family val="3"/>
            <charset val="134"/>
          </rPr>
          <t xml:space="preserve">
</t>
        </r>
      </text>
    </comment>
    <comment ref="L52" authorId="0" shapeId="0" xr:uid="{6C79121D-1597-4497-8627-839B9FECD464}">
      <text>
        <r>
          <rPr>
            <sz val="10"/>
            <rFont val="宋体"/>
            <family val="3"/>
            <charset val="134"/>
          </rPr>
          <t xml:space="preserve">需注意，采用基准地价系数修正法中土地结果计算时，土地报酬率应采用该方法中报酬率（还原率）。
</t>
        </r>
      </text>
    </comment>
    <comment ref="L55" authorId="0" shapeId="0" xr:uid="{91C2385D-251F-4005-AEB5-83999991F5D3}">
      <text>
        <r>
          <rPr>
            <sz val="11"/>
            <rFont val="宋体"/>
            <family val="3"/>
            <charset val="134"/>
          </rPr>
          <t>采用租约时，尽量不选用收益还原法</t>
        </r>
        <r>
          <rPr>
            <sz val="9"/>
            <rFont val="宋体"/>
            <family val="3"/>
            <charset val="134"/>
          </rPr>
          <t xml:space="preserve">
</t>
        </r>
      </text>
    </comment>
    <comment ref="I56" authorId="0" shapeId="0" xr:uid="{8B688A2F-DD7F-4AE0-8D6E-13120526BF1B}">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<sst xmlns="http://schemas.openxmlformats.org/spreadsheetml/2006/main" count="10334" uniqueCount="2867">
  <si>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</si>
  <si>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</si>
  <si>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</si>
  <si>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</si>
  <si>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</si>
  <si>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</si>
  <si>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</si>
  <si>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</si>
  <si>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</si>
  <si>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</si>
  <si>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</si>
  <si>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</si>
  <si>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</si>
  <si>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</si>
  <si>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</si>
  <si>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</si>
  <si>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</si>
  <si>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</si>
  <si>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</si>
  <si>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</si>
  <si>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</si>
  <si>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</si>
  <si>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</si>
  <si>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</si>
  <si>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</si>
  <si>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</si>
  <si>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</si>
  <si>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</si>
  <si>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</si>
  <si>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</si>
  <si>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</si>
  <si>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</si>
  <si>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</si>
  <si>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</si>
  <si>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</si>
  <si>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</si>
  <si>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</si>
  <si>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</si>
  <si>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</si>
  <si>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</si>
  <si>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</si>
  <si>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</si>
  <si>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</si>
  <si>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</si>
  <si>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</si>
  <si>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</si>
  <si>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</si>
  <si>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</si>
  <si>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</si>
  <si>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</si>
  <si>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</si>
  <si>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</si>
  <si>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</si>
  <si>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</si>
  <si>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</si>
  <si>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</si>
  <si>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</si>
  <si>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</si>
  <si>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</si>
  <si>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</si>
  <si>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</si>
  <si>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</si>
  <si>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</si>
  <si>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</si>
  <si>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</si>
  <si>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</si>
  <si>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</si>
  <si>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</si>
  <si>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</si>
  <si>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</si>
  <si>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</si>
  <si>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</si>
  <si>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</si>
  <si>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</si>
  <si>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</si>
  <si>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</si>
  <si>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</si>
  <si>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</si>
  <si>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</si>
  <si>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</si>
  <si>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</si>
  <si>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</si>
  <si>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</si>
  <si>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</si>
  <si>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</si>
  <si>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</si>
  <si>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</si>
  <si>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</si>
  <si>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</si>
  <si>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</si>
  <si>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</si>
  <si>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</si>
  <si>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</si>
  <si>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</si>
  <si>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</si>
  <si>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</si>
  <si>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</si>
  <si>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</si>
  <si>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</si>
  <si>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</si>
  <si>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</si>
  <si>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</si>
  <si>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</si>
  <si>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</si>
  <si>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</si>
  <si>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</si>
  <si>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</si>
  <si>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</si>
  <si>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</si>
  <si>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</si>
  <si>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</si>
  <si>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</si>
  <si>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</si>
  <si>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</si>
  <si>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</si>
  <si>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</si>
  <si>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</si>
  <si>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</si>
  <si>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</si>
  <si>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</si>
  <si>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</si>
  <si>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</si>
  <si>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</si>
  <si>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</si>
  <si>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</si>
  <si>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</si>
  <si>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</si>
  <si>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</si>
  <si>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</si>
  <si>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</si>
  <si>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</si>
  <si>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</si>
  <si>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</si>
  <si>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</si>
  <si>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</si>
  <si>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</si>
  <si>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</si>
  <si>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</si>
  <si>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</si>
  <si>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</si>
  <si>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</si>
  <si>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</si>
  <si>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</si>
  <si>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</si>
  <si>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</si>
  <si>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</si>
  <si>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</si>
  <si>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</si>
  <si>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</si>
  <si>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</si>
  <si>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</si>
  <si>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</si>
  <si>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</si>
  <si>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</si>
  <si>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</si>
  <si>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</si>
  <si>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</si>
  <si>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</si>
  <si>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</si>
  <si>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</si>
  <si>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</si>
  <si>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</si>
  <si>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</si>
  <si>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</si>
  <si>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</si>
  <si>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</si>
  <si>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</si>
  <si>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</si>
  <si>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</si>
  <si>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</si>
  <si>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</si>
  <si>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</si>
  <si>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</si>
  <si>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</si>
  <si>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</si>
  <si>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</si>
  <si>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</si>
  <si>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</si>
  <si>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</si>
  <si>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</si>
  <si>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</si>
  <si>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</si>
  <si>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</si>
  <si>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</si>
  <si>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</si>
  <si>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</si>
  <si>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</si>
  <si>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</si>
  <si>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</si>
  <si>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</si>
  <si>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</si>
  <si>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</si>
  <si>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</si>
  <si>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</si>
  <si>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</si>
  <si>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</si>
  <si>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</si>
  <si>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</si>
  <si>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</si>
  <si>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</si>
  <si>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</si>
  <si>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</si>
  <si>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</si>
  <si>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</si>
  <si>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</si>
  <si>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</si>
  <si>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</si>
  <si>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</si>
  <si>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</si>
  <si>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</si>
  <si>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</si>
  <si>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</si>
  <si>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</si>
  <si>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</si>
  <si>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</si>
  <si>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</si>
  <si>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</si>
  <si>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</si>
  <si>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</si>
  <si>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</si>
  <si>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</si>
  <si>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</si>
  <si>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</si>
  <si>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</si>
  <si>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</si>
  <si>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</si>
  <si>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</si>
  <si>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</si>
  <si>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</si>
  <si>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</si>
  <si>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</si>
  <si>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</si>
  <si>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</si>
  <si>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</si>
  <si>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</si>
  <si>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</si>
  <si>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</si>
  <si>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</si>
  <si>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</si>
  <si>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</si>
  <si>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</si>
  <si>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</si>
  <si>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</si>
  <si>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</si>
  <si>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</si>
  <si>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</si>
  <si>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</si>
  <si>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</si>
  <si>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</si>
  <si>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</si>
  <si>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</si>
  <si>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</si>
  <si>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</si>
  <si>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</si>
  <si>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</si>
  <si>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</si>
  <si>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</si>
  <si>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</si>
  <si>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</si>
  <si>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</si>
  <si>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</si>
  <si>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</si>
  <si>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</si>
  <si>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</si>
  <si>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</si>
  <si>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</si>
  <si>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</si>
  <si>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</si>
  <si>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</si>
  <si>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</si>
  <si>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</si>
  <si>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</si>
  <si>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</si>
  <si>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</si>
  <si>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</si>
  <si>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</si>
  <si>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</si>
  <si>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</si>
  <si>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</si>
  <si>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</si>
  <si>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</si>
  <si>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</si>
  <si>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</si>
  <si>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</si>
  <si>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</si>
  <si>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</si>
  <si>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</si>
  <si>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</si>
  <si>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</si>
  <si>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</si>
  <si>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</si>
  <si>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</si>
  <si>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</si>
  <si>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</si>
  <si>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</si>
  <si>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</si>
  <si>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</si>
  <si>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</si>
  <si>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</si>
  <si>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</si>
  <si>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</si>
  <si>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</si>
  <si>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</si>
  <si>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</si>
  <si>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</si>
  <si>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</si>
  <si>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</si>
  <si>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</si>
  <si>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</si>
  <si>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</si>
  <si>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</si>
  <si>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</si>
  <si>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</si>
  <si>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</si>
  <si>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</si>
  <si>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</si>
  <si>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</si>
  <si>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</si>
  <si>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</si>
  <si>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</si>
  <si>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</si>
  <si>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</si>
  <si>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</si>
  <si>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</si>
  <si>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</si>
  <si>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</si>
  <si>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</si>
  <si>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</si>
  <si>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</si>
  <si>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</si>
  <si>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</si>
  <si>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</si>
  <si>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</si>
  <si>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</si>
  <si>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</si>
  <si>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</si>
  <si>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</si>
  <si>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</si>
  <si>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</si>
  <si>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</si>
  <si>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</si>
  <si>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</si>
  <si>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</si>
  <si>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</si>
  <si>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</si>
  <si>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</si>
  <si>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</si>
  <si>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</si>
  <si>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</si>
  <si>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</si>
  <si>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</si>
  <si>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</si>
  <si>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</si>
  <si>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</si>
  <si>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</si>
  <si>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</si>
  <si>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</si>
  <si>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</si>
  <si>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</si>
  <si>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</si>
  <si>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</si>
  <si>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</si>
  <si>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</si>
  <si>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</si>
  <si>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</si>
  <si>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</si>
  <si>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</si>
  <si>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</si>
  <si>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</si>
  <si>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</si>
  <si>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</si>
  <si>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</si>
  <si>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</si>
  <si>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</si>
  <si>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</si>
  <si>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</si>
  <si>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</si>
  <si>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</si>
  <si>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</si>
  <si>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</si>
  <si>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</si>
  <si>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</si>
  <si>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</si>
  <si>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</si>
  <si>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</si>
  <si>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</si>
  <si>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</si>
  <si>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</si>
  <si>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</si>
  <si>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</si>
  <si>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</si>
  <si>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</si>
  <si>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</si>
  <si>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</si>
  <si>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</si>
  <si>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</si>
  <si>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</si>
  <si>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</si>
  <si>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</si>
  <si>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</si>
  <si>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</si>
  <si>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</si>
  <si>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</si>
  <si>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</si>
  <si>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</si>
  <si>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</si>
  <si>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</si>
  <si>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</si>
  <si>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</si>
  <si>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</si>
  <si>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</si>
  <si>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</si>
  <si>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</si>
  <si>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</si>
  <si>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</si>
  <si>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</si>
  <si>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</si>
  <si>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</si>
  <si>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</si>
  <si>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</si>
  <si>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</si>
  <si>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</si>
  <si>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</si>
  <si>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</si>
  <si>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</si>
  <si>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</si>
  <si>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</si>
  <si>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</si>
  <si>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</si>
  <si>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</si>
  <si>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</si>
  <si>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</si>
  <si>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</si>
  <si>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</si>
  <si>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</si>
  <si>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</si>
  <si>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</si>
  <si>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</si>
  <si>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</si>
  <si>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</si>
  <si>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</si>
  <si>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</si>
  <si>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</si>
  <si>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</si>
  <si>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</si>
  <si>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</si>
  <si>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</si>
  <si>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</si>
  <si>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</si>
  <si>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</si>
  <si>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</si>
  <si>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</si>
  <si>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</si>
  <si>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</si>
  <si>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</si>
  <si>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</si>
  <si>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</si>
  <si>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</si>
  <si>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</si>
  <si>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</si>
  <si>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</si>
  <si>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</si>
  <si>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</si>
  <si>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</si>
  <si>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</si>
  <si>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</si>
  <si>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</si>
  <si>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</si>
  <si>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</si>
  <si>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</si>
  <si>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</si>
  <si>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</si>
  <si>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</si>
  <si>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</si>
  <si>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</si>
  <si>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</si>
  <si>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</si>
  <si>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</si>
  <si>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</si>
  <si>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</si>
  <si>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</si>
  <si>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</si>
  <si>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</si>
  <si>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</si>
  <si>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</si>
  <si>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</si>
  <si>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</si>
  <si>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</si>
  <si>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</si>
  <si>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</si>
  <si>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</si>
  <si>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</si>
  <si>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</si>
  <si>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</si>
  <si>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</si>
  <si>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</si>
  <si>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</si>
  <si>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</si>
  <si>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</si>
  <si>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</si>
  <si>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</si>
  <si>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</si>
  <si>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</si>
  <si>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</si>
  <si>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</si>
  <si>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</si>
  <si>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</si>
  <si>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</si>
  <si>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</si>
  <si>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</si>
  <si>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</si>
  <si>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</si>
  <si>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</si>
  <si>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</si>
  <si>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</si>
  <si>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</si>
  <si>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</si>
  <si>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</si>
  <si>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</si>
  <si>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</si>
  <si>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</si>
  <si>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</si>
  <si>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</si>
  <si>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</si>
  <si>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</si>
  <si>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</si>
  <si>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</si>
  <si>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</si>
  <si>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</si>
  <si>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</si>
  <si>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</si>
  <si>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</si>
  <si>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</si>
  <si>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</si>
  <si>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</si>
  <si>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</si>
  <si>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</si>
  <si>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</si>
  <si>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</si>
  <si>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</si>
  <si>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</si>
  <si>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</si>
  <si>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</si>
  <si>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</si>
  <si>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</si>
  <si>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</si>
  <si>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</si>
  <si>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</si>
  <si>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</si>
  <si>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</si>
  <si>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</si>
  <si>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</si>
  <si>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</si>
  <si>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</si>
  <si>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</si>
  <si>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</si>
  <si>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</si>
  <si>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</si>
  <si>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</si>
  <si>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</si>
  <si>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</si>
  <si>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</si>
  <si>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</si>
  <si>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</si>
  <si>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</si>
  <si>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</si>
  <si>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</si>
  <si>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</si>
  <si>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</si>
  <si>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</si>
  <si>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</si>
  <si>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</si>
  <si>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</si>
  <si>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</si>
  <si>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</si>
  <si>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</si>
  <si>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</si>
  <si>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</si>
  <si>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</si>
  <si>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</si>
  <si>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</si>
  <si>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</si>
  <si>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</si>
  <si>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</si>
  <si>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</si>
  <si>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</si>
  <si>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</si>
  <si>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</si>
  <si>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</si>
  <si>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</si>
  <si>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</si>
  <si>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</si>
  <si>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</si>
  <si>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</si>
  <si>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</si>
  <si>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</si>
  <si>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</si>
  <si>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</si>
  <si>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</si>
  <si>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</si>
  <si>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</si>
  <si>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</si>
  <si>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</si>
  <si>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</si>
  <si>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</si>
  <si>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</si>
  <si>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</si>
  <si>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</si>
  <si>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</si>
  <si>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</si>
  <si>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</si>
  <si>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</si>
  <si>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</si>
  <si>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</si>
  <si>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</si>
  <si>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</si>
  <si>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</si>
  <si>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</si>
  <si>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</si>
  <si>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</si>
  <si>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</si>
  <si>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</si>
  <si>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</si>
  <si>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</si>
  <si>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</si>
  <si>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</si>
  <si>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</si>
  <si>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</si>
  <si>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</si>
  <si>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</si>
  <si>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</si>
  <si>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</si>
  <si>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</si>
  <si>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</si>
  <si>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</si>
  <si>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</si>
  <si>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</si>
  <si>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</si>
  <si>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</si>
  <si>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</si>
  <si>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</si>
  <si>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</si>
  <si>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</si>
  <si>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</si>
  <si>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</si>
  <si>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</si>
  <si>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</si>
  <si>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</si>
  <si>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</si>
  <si>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</si>
  <si>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</si>
  <si>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</si>
  <si>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</si>
  <si>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</si>
  <si>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</si>
  <si>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</si>
  <si>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</si>
  <si>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</si>
  <si>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</si>
  <si>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</si>
  <si>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</si>
  <si>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</si>
  <si>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</si>
  <si>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</si>
  <si>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</si>
  <si>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</si>
  <si>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</si>
  <si>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</si>
  <si>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</si>
  <si>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</si>
  <si>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</si>
  <si>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</si>
  <si>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</si>
  <si>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</si>
  <si>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</si>
  <si>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</si>
  <si>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</si>
  <si>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</si>
  <si>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</si>
  <si>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</si>
  <si>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</si>
  <si>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</si>
  <si>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</si>
  <si>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</si>
  <si>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</si>
  <si>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</si>
  <si>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</si>
  <si>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</si>
  <si>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</si>
  <si>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</si>
  <si>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</si>
  <si>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</si>
  <si>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</si>
  <si>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</si>
  <si>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</si>
  <si>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</si>
  <si>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</si>
  <si>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</si>
  <si>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</si>
  <si>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</si>
  <si>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</si>
  <si>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</si>
  <si>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</si>
  <si>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</si>
  <si>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</si>
  <si>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</si>
  <si>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</si>
  <si>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</si>
  <si>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</si>
  <si>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</si>
  <si>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</si>
  <si>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</si>
  <si>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</si>
  <si>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</si>
  <si>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</si>
  <si>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</si>
  <si>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</si>
  <si>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</si>
  <si>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</si>
  <si>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</si>
  <si>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</si>
  <si>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</si>
  <si>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</si>
  <si>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</si>
  <si>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</si>
  <si>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</si>
  <si>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</si>
  <si>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</si>
  <si>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</si>
  <si>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</si>
  <si>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</si>
  <si>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</si>
  <si>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</si>
  <si>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</si>
  <si>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</si>
  <si>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</si>
  <si>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</si>
  <si>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</si>
  <si>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</si>
  <si>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</si>
  <si>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</si>
  <si>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</si>
  <si>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</si>
  <si>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</si>
  <si>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</si>
  <si>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</si>
  <si>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</si>
  <si>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</si>
  <si>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</si>
  <si>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</si>
  <si>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</si>
  <si>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</si>
  <si>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</si>
  <si>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</si>
  <si>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</si>
  <si>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</si>
  <si>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</si>
  <si>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</si>
  <si>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</si>
  <si>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</si>
  <si>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</si>
  <si>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</si>
  <si>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</si>
  <si>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</si>
  <si>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</si>
  <si>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</si>
  <si>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</si>
  <si>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</si>
  <si>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</si>
  <si>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</si>
  <si>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</si>
  <si>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</si>
  <si>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</si>
  <si>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</si>
  <si>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</si>
  <si>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</si>
  <si>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</si>
  <si>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</si>
  <si>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</si>
  <si>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</si>
  <si>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</si>
  <si>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</si>
  <si>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</si>
  <si>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</si>
  <si>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</si>
  <si>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</si>
  <si>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</si>
  <si>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</si>
  <si>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</si>
  <si>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</si>
  <si>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</si>
  <si>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</si>
  <si>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</si>
  <si>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</si>
  <si>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</si>
  <si>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</si>
  <si>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</si>
  <si>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</si>
  <si>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</si>
  <si>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</si>
  <si>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</si>
  <si>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</si>
  <si>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</si>
  <si>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</si>
  <si>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</si>
  <si>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</si>
  <si>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</si>
  <si>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</si>
  <si>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</si>
  <si>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</si>
  <si>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</si>
  <si>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</si>
  <si>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</si>
  <si>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</si>
  <si>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</si>
  <si>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</si>
  <si>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</si>
  <si>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</si>
  <si>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</si>
  <si>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</si>
  <si>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</si>
  <si>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</si>
  <si>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</si>
  <si>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</si>
  <si>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</si>
  <si>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</si>
  <si>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</si>
  <si>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</si>
  <si>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</si>
  <si>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</si>
  <si>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</si>
  <si>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</si>
  <si>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</si>
  <si>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</si>
  <si>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</si>
  <si>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</si>
  <si>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</si>
  <si>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</si>
  <si>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</si>
  <si>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</si>
  <si>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</si>
  <si>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</si>
  <si>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</si>
  <si>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</si>
  <si>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</si>
  <si>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</si>
  <si>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</si>
  <si>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</si>
  <si>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</si>
  <si>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</si>
  <si>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</si>
  <si>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</si>
  <si>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</si>
  <si>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</si>
  <si>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</si>
  <si>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</si>
  <si>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</si>
  <si>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</si>
  <si>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</si>
  <si>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</si>
  <si>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</si>
  <si>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</si>
  <si>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</si>
  <si>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</si>
  <si>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</si>
  <si>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</si>
  <si>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</si>
  <si>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</si>
  <si>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</si>
  <si>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</si>
  <si>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</si>
  <si>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</si>
  <si>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</si>
  <si>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</si>
  <si>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</si>
  <si>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</si>
  <si>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</si>
  <si>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</si>
  <si>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</si>
  <si>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</si>
  <si>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</si>
  <si>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</si>
  <si>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</si>
  <si>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</si>
  <si>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</si>
  <si>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</si>
  <si>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</si>
  <si>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</si>
  <si>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</si>
  <si>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</si>
  <si>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</si>
  <si>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</si>
  <si>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</si>
  <si>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</si>
  <si>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</si>
  <si>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</si>
  <si>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</si>
  <si>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</si>
  <si>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</si>
  <si>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</si>
  <si>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</si>
  <si>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</si>
  <si>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</si>
  <si>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</si>
  <si>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</si>
  <si>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</si>
  <si>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</si>
  <si>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</si>
  <si>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</si>
  <si>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</si>
  <si>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</si>
  <si>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</si>
  <si>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</si>
  <si>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</si>
  <si>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</si>
  <si>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</si>
  <si>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</si>
  <si>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</si>
  <si>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</si>
  <si>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</si>
  <si>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</si>
  <si>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</si>
  <si>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</si>
  <si>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</si>
  <si>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</si>
  <si>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</si>
  <si>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</si>
  <si>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</si>
  <si>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</si>
  <si>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</si>
  <si>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</si>
  <si>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</si>
  <si>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</si>
  <si>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</si>
  <si>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</si>
  <si>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</si>
  <si>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</si>
  <si>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</si>
  <si>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</si>
  <si>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</si>
  <si>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</si>
  <si>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</si>
  <si>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</si>
  <si>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</si>
  <si>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</si>
  <si>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</si>
  <si>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</si>
  <si>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</si>
  <si>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</si>
  <si>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</si>
  <si>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</si>
  <si>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</si>
  <si>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</si>
  <si>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</si>
  <si>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</si>
  <si>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</si>
  <si>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</si>
  <si>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</si>
  <si>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</si>
  <si>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</si>
  <si>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</si>
  <si>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</si>
  <si>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</si>
  <si>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</si>
  <si>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</si>
  <si>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</si>
  <si>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</si>
  <si>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</si>
  <si>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</si>
  <si>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</si>
  <si>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</si>
  <si>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</si>
  <si>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</si>
  <si>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</si>
  <si>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</si>
  <si>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</si>
  <si>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</si>
  <si>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</si>
  <si>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</si>
  <si>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</si>
  <si>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</si>
  <si>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</si>
  <si>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</si>
  <si>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</si>
  <si>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</si>
  <si>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</si>
  <si>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</si>
  <si>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</si>
  <si>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</si>
  <si>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</si>
  <si>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</si>
  <si>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</si>
  <si>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</si>
  <si>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</si>
  <si>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</si>
  <si>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</si>
  <si>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</si>
  <si>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</si>
  <si>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</si>
  <si>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</si>
  <si>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</si>
  <si>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</si>
  <si>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</si>
  <si>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</si>
  <si>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</si>
  <si>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</si>
  <si>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</si>
  <si>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</si>
  <si>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</si>
  <si>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</si>
  <si>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</si>
  <si>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</si>
  <si>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</si>
  <si>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</si>
  <si>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</si>
  <si>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</si>
  <si>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</si>
  <si>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</si>
  <si>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</si>
  <si>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</si>
  <si>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</si>
  <si>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</si>
  <si>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</si>
  <si>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</si>
  <si>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</si>
  <si>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</si>
  <si>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</si>
  <si>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</si>
  <si>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</si>
  <si>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</si>
  <si>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</si>
  <si>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</si>
  <si>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</si>
  <si>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</si>
  <si>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</si>
  <si>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</si>
  <si>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</si>
  <si>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</si>
  <si>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</si>
  <si>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</si>
  <si>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</si>
  <si>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</si>
  <si>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</si>
  <si>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</si>
  <si>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</si>
  <si>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</si>
  <si>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</si>
  <si>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</si>
  <si>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</si>
  <si>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</si>
  <si>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</si>
  <si>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</si>
  <si>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</si>
  <si>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</si>
  <si>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</si>
  <si>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</si>
  <si>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</si>
  <si>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</si>
  <si>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</si>
  <si>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</si>
  <si>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</si>
  <si>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</si>
  <si>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</si>
  <si>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</si>
  <si>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</si>
  <si>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</si>
  <si>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</si>
  <si>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</si>
  <si>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</si>
  <si>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</si>
  <si>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</si>
  <si>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</si>
  <si>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</si>
  <si>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</si>
  <si>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</si>
  <si>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</si>
  <si>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</si>
  <si>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</si>
  <si>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</si>
  <si>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</si>
  <si>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</si>
  <si>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</si>
  <si>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</si>
  <si>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</si>
  <si>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</si>
  <si>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</si>
  <si>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</si>
  <si>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</si>
  <si>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</si>
  <si>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</si>
  <si>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</si>
  <si>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</si>
  <si>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</si>
  <si>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</si>
  <si>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</si>
  <si>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</si>
  <si>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</si>
  <si>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</si>
  <si>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</si>
  <si>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</si>
  <si>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</si>
  <si>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</si>
  <si>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</si>
  <si>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</si>
  <si>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</si>
  <si>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</si>
  <si>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</si>
  <si>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</si>
  <si>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</si>
  <si>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</si>
  <si>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</si>
  <si>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</si>
  <si>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</si>
  <si>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</si>
  <si>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</si>
  <si>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</si>
  <si>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</si>
  <si>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</si>
  <si>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</si>
  <si>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</si>
  <si>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</si>
  <si>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</si>
  <si>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</si>
  <si>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</si>
  <si>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</si>
  <si>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</si>
  <si>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</si>
  <si>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</si>
  <si>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</si>
  <si>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</si>
  <si>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</si>
  <si>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</si>
  <si>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</si>
  <si>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</si>
  <si>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</si>
  <si>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</si>
  <si>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</si>
  <si>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</si>
  <si>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</si>
  <si>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</si>
  <si>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</si>
  <si>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</si>
  <si>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</si>
  <si>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</si>
  <si>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</si>
  <si>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</si>
  <si>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</si>
  <si>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</si>
  <si>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</si>
  <si>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</si>
  <si>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</si>
  <si>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</si>
  <si>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</si>
  <si>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</si>
  <si>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</si>
  <si>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</si>
  <si>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</si>
  <si>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</si>
  <si>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</si>
  <si>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</si>
  <si>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</si>
  <si>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</si>
  <si>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</si>
  <si>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</si>
  <si>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</si>
  <si>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</si>
  <si>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</si>
  <si>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</si>
  <si>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</si>
  <si>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</si>
  <si>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</si>
  <si>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</si>
  <si>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</si>
  <si>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</si>
  <si>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</si>
  <si>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</si>
  <si>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</si>
  <si>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</si>
  <si>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</si>
  <si>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</si>
  <si>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</si>
  <si>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</si>
  <si>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</si>
  <si>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</si>
  <si>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</si>
  <si>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</si>
  <si>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</si>
  <si>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</si>
  <si>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</si>
  <si>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</si>
  <si>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</si>
  <si>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</si>
  <si>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</si>
  <si>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</si>
  <si>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</si>
  <si>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</si>
  <si>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</si>
  <si>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</si>
  <si>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</si>
  <si>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</si>
  <si>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</si>
  <si>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</si>
  <si>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</si>
  <si>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</si>
  <si>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</si>
  <si>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</si>
  <si>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</si>
  <si>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</si>
  <si>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</si>
  <si>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</si>
  <si>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</si>
  <si>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</si>
  <si>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</si>
  <si>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</si>
  <si>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</si>
  <si>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</si>
  <si>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</si>
  <si>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</si>
  <si>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</si>
  <si>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</si>
  <si>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</si>
  <si>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</si>
  <si>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</si>
  <si>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</si>
  <si>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</si>
  <si>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</si>
  <si>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</si>
  <si>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</si>
  <si>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</si>
  <si>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</si>
  <si>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</si>
  <si>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</si>
  <si>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</si>
  <si>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</si>
  <si>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</si>
  <si>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</si>
  <si>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</si>
  <si>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</si>
  <si>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</si>
  <si>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</si>
  <si>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</si>
  <si>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</si>
  <si>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</si>
  <si>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</si>
  <si>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</si>
  <si>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</si>
  <si>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</si>
  <si>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</si>
  <si>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</si>
  <si>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</si>
  <si>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</si>
  <si>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</si>
  <si>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</si>
  <si>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</si>
  <si>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</si>
  <si>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</si>
  <si>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</si>
  <si>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</si>
  <si>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</si>
  <si>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</si>
  <si>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</si>
  <si>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</si>
  <si>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</si>
  <si>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</si>
  <si>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</si>
  <si>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</si>
  <si>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</si>
  <si>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</si>
  <si>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</si>
  <si>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</si>
  <si>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</si>
  <si>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</si>
  <si>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</si>
  <si>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</si>
  <si>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</si>
  <si>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</si>
  <si>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</si>
  <si>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</si>
  <si>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</si>
  <si>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</si>
  <si>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</si>
  <si>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</si>
  <si>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</si>
  <si>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</si>
  <si>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</si>
  <si>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</si>
  <si>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</si>
  <si>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</si>
  <si>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</si>
  <si>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</si>
  <si>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</si>
  <si>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</si>
  <si>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</si>
  <si>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</si>
  <si>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</si>
  <si>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</si>
  <si>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</si>
  <si>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</si>
  <si>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</si>
  <si>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</si>
  <si>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</si>
  <si>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</si>
  <si>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</si>
  <si>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</si>
  <si>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</si>
  <si>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</si>
  <si>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</si>
  <si>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</si>
  <si>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</si>
  <si>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</si>
  <si>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</si>
  <si>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</si>
  <si>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</si>
  <si>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</si>
  <si>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</si>
  <si>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</si>
  <si>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</si>
  <si>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</si>
  <si>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</si>
  <si>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</si>
  <si>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</si>
  <si>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</si>
  <si>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</si>
  <si>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</si>
  <si>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</si>
  <si>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</si>
  <si>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</si>
  <si>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</si>
  <si>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</si>
  <si>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</si>
  <si>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</si>
  <si>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</si>
  <si>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</si>
  <si>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</si>
  <si>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</si>
  <si>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</si>
  <si>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</si>
  <si>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</si>
  <si>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</si>
  <si>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</si>
  <si>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</si>
  <si>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</si>
  <si>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</si>
  <si>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</si>
  <si>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</si>
  <si>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</si>
  <si>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</si>
  <si>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</si>
  <si>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</si>
  <si>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</si>
  <si>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</si>
  <si>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</si>
  <si>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</si>
  <si>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</si>
  <si>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</si>
  <si>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</si>
  <si>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</si>
  <si>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</si>
  <si>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</si>
  <si>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</si>
  <si>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</si>
  <si>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</si>
  <si>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</si>
  <si>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</si>
  <si>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</si>
  <si>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</si>
  <si>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</si>
  <si>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</si>
  <si>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</si>
  <si>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</si>
  <si>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</si>
  <si>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</si>
  <si>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</si>
  <si>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</si>
  <si>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</si>
  <si>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</si>
  <si>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</si>
  <si>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</si>
  <si>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</si>
  <si>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</si>
  <si>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</si>
  <si>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</si>
  <si>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</si>
  <si>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</si>
  <si>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</si>
  <si>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</si>
  <si>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</si>
  <si>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</si>
  <si>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</si>
  <si>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</si>
  <si>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</si>
  <si>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</si>
  <si>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</si>
  <si>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</si>
  <si>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</si>
  <si>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</si>
  <si>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</si>
  <si>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</si>
  <si>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</si>
  <si>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</si>
  <si>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</si>
  <si>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</si>
  <si>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</si>
  <si>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</si>
  <si>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</si>
  <si>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</si>
  <si>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</si>
  <si>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</si>
  <si>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</si>
  <si>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</si>
  <si>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</si>
  <si>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</si>
  <si>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</si>
  <si>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</si>
  <si>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</si>
  <si>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</si>
  <si>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</si>
  <si>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</si>
  <si>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</si>
  <si>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</si>
  <si>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</si>
  <si>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</si>
  <si>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</si>
  <si>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</si>
  <si>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</si>
  <si>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</si>
  <si>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</si>
  <si>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</si>
  <si>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</si>
  <si>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</si>
  <si>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</si>
  <si>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</si>
  <si>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</si>
  <si>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</si>
  <si>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</si>
  <si>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</si>
  <si>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</si>
  <si>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</si>
  <si>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</si>
  <si>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</si>
  <si>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</si>
  <si>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</si>
  <si>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</si>
  <si>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</si>
  <si>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</si>
  <si>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</si>
  <si>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</si>
  <si>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</si>
  <si>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</si>
  <si>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</si>
  <si>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</si>
  <si>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</si>
  <si>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</si>
  <si>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</si>
  <si>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</si>
  <si>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</si>
  <si>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</si>
  <si>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</si>
  <si>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</si>
  <si>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</si>
  <si>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</si>
  <si>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</si>
  <si>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</si>
  <si>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</si>
  <si>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</si>
  <si>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</si>
  <si>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</si>
  <si>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</si>
  <si>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</si>
  <si>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</si>
  <si>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</si>
  <si>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</si>
  <si>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</si>
  <si>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</si>
  <si>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</si>
  <si>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</si>
  <si>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</si>
  <si>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</si>
  <si>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</si>
  <si>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</si>
  <si>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</si>
  <si>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</si>
  <si>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</si>
  <si>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</si>
  <si>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</si>
  <si>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</si>
  <si>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</si>
  <si>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</si>
  <si>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</si>
  <si>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</si>
  <si>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</si>
  <si>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</si>
  <si>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</si>
  <si>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</si>
  <si>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</si>
  <si>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</si>
  <si>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</si>
  <si>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</si>
  <si>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</si>
  <si>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</si>
  <si>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</si>
  <si>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</si>
  <si>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</si>
  <si>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</si>
  <si>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</si>
  <si>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</si>
  <si>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</si>
  <si>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</si>
  <si>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</si>
  <si>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</si>
  <si>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</si>
  <si>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</si>
  <si>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</si>
  <si>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</si>
  <si>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</si>
  <si>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</si>
  <si>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</si>
  <si>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</si>
  <si>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</si>
  <si>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</si>
  <si>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</si>
  <si>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</si>
  <si>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</si>
  <si>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</si>
  <si>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</si>
  <si>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</si>
  <si>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</si>
  <si>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</si>
  <si>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</si>
  <si>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</si>
  <si>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</si>
  <si>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</si>
  <si>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</si>
  <si>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</si>
  <si>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</si>
  <si>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</si>
  <si>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</si>
  <si>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</si>
  <si>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</si>
  <si>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</si>
  <si>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</si>
  <si>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</si>
  <si>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</si>
  <si>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</si>
  <si>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</si>
  <si>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</si>
  <si>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</si>
  <si>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</si>
  <si>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</si>
  <si>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</si>
  <si>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</si>
  <si>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</si>
  <si>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</si>
  <si>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</si>
  <si>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</si>
  <si>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</si>
  <si>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</si>
  <si>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</si>
  <si>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</si>
  <si>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</si>
  <si>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</si>
  <si>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</si>
  <si>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</si>
  <si>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</si>
  <si>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</si>
  <si>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</si>
  <si>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</si>
  <si>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</si>
  <si>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</si>
  <si>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</si>
  <si>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</si>
  <si>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</si>
  <si>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</si>
  <si>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</si>
  <si>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</si>
  <si>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</si>
  <si>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</si>
  <si>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</si>
  <si>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</si>
  <si>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</si>
  <si>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</si>
  <si>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</si>
  <si>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</si>
  <si>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</si>
  <si>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</si>
  <si>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</si>
  <si>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</si>
  <si>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</si>
  <si>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</si>
  <si>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</si>
  <si>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</si>
  <si>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</si>
  <si>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</si>
  <si>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</si>
  <si>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</si>
  <si>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</si>
  <si>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</si>
  <si>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</si>
  <si>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</si>
  <si>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</si>
  <si>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</si>
  <si>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</si>
  <si>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</si>
  <si>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</si>
  <si>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</si>
  <si>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</si>
  <si>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</si>
  <si>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</si>
  <si>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</si>
  <si>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</si>
  <si>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</si>
  <si>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</si>
  <si>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</si>
  <si>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</si>
  <si>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</si>
  <si>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</si>
  <si>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</si>
  <si>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</si>
  <si>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</si>
  <si>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</si>
  <si>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</si>
  <si>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</si>
  <si>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</si>
  <si>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</si>
  <si>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</si>
  <si>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</si>
  <si>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</si>
  <si>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</si>
  <si>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</si>
  <si>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</si>
  <si>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</si>
  <si>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</si>
  <si>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</si>
  <si>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</si>
  <si>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</si>
  <si>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</si>
  <si>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</si>
  <si>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</si>
  <si>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</si>
  <si>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</si>
  <si>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</si>
  <si>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</si>
  <si>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</si>
  <si>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</si>
  <si>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</si>
  <si>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</si>
  <si>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</si>
  <si>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</si>
  <si>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</si>
  <si>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</si>
  <si>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</si>
  <si>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</si>
  <si>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</si>
  <si>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</si>
  <si>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</si>
  <si>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</si>
  <si>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</si>
  <si>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</si>
  <si>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</si>
  <si>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</si>
  <si>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</si>
  <si>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</si>
  <si>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</si>
  <si>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</si>
  <si>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</si>
  <si>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</si>
  <si>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</si>
  <si>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</si>
  <si>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</si>
  <si>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</si>
  <si>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</si>
  <si>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</si>
  <si>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</si>
  <si>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</si>
  <si>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</si>
  <si>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</si>
  <si>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</si>
  <si>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</si>
  <si>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</si>
  <si>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</si>
  <si>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</si>
  <si>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</si>
  <si>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</si>
  <si>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</si>
  <si>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</si>
  <si>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</si>
  <si>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</si>
  <si>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</si>
  <si>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</si>
  <si>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</si>
  <si>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</si>
  <si>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</si>
  <si>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</si>
  <si>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</si>
  <si>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</si>
  <si>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</si>
  <si>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</si>
  <si>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</si>
  <si>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</si>
  <si>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</si>
  <si>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</si>
  <si>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</si>
  <si>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</si>
  <si>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</si>
  <si>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</si>
  <si>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</si>
  <si>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</si>
  <si>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</si>
  <si>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</si>
  <si>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</si>
  <si>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</si>
  <si>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</si>
  <si>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</si>
  <si>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</si>
  <si>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</si>
  <si>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</si>
  <si>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</si>
  <si>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</si>
  <si>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</si>
  <si>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</si>
  <si>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</si>
  <si>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</si>
  <si>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</si>
  <si>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</si>
  <si>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</si>
  <si>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</si>
  <si>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</si>
  <si>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</si>
  <si>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</si>
  <si>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</si>
  <si>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</si>
  <si>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</si>
  <si>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</si>
  <si>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</si>
  <si>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</si>
  <si>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</si>
  <si>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</si>
  <si>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</si>
  <si>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</si>
  <si>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</si>
  <si>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</si>
  <si>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</si>
  <si>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</si>
  <si>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</si>
  <si>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</si>
  <si>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</si>
  <si>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</si>
  <si>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</si>
  <si>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</si>
  <si>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</si>
  <si>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</si>
  <si>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</si>
  <si>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</si>
  <si>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</si>
  <si>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</si>
  <si>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</si>
  <si>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</si>
  <si>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</si>
  <si>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</si>
  <si>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</si>
  <si>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</si>
  <si>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</si>
  <si>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</si>
  <si>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</si>
  <si>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</si>
  <si>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</si>
  <si>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</si>
  <si>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</si>
  <si>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</si>
  <si>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</si>
  <si>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</si>
  <si>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</si>
  <si>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</si>
  <si>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</si>
  <si>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</si>
  <si>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</si>
  <si>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</si>
  <si>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</si>
  <si>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</si>
  <si>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</si>
  <si>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</si>
  <si>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</si>
  <si>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</si>
  <si>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</si>
  <si>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</si>
  <si>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</si>
  <si>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</si>
  <si>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</si>
  <si>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</si>
  <si>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</si>
  <si>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</si>
  <si>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</si>
  <si>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</si>
  <si>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</si>
  <si>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</si>
  <si>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</si>
  <si>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</si>
  <si>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</si>
  <si>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</si>
  <si>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</si>
  <si>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</si>
  <si>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</si>
  <si>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</si>
  <si>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</si>
  <si>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</si>
  <si>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</si>
  <si>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</si>
  <si>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</si>
  <si>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</si>
  <si>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</si>
  <si>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</si>
  <si>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</si>
  <si>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</si>
  <si>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</si>
  <si>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</si>
  <si>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</si>
  <si>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</si>
  <si>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</si>
  <si>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</si>
  <si>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</si>
  <si>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</si>
  <si>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</si>
  <si>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</si>
  <si>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</si>
  <si>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</si>
  <si>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</si>
  <si>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</si>
  <si>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</si>
  <si>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</si>
  <si>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</si>
  <si>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</si>
  <si>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</si>
  <si>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</si>
  <si>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</si>
  <si>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</si>
  <si>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</si>
  <si>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</si>
  <si>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</si>
  <si>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</si>
  <si>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</si>
  <si>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</si>
  <si>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</si>
  <si>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</si>
  <si>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</si>
  <si>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</si>
  <si>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</si>
  <si>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</si>
  <si>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</si>
  <si>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</si>
  <si>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</si>
  <si>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</si>
  <si>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</si>
  <si>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</si>
  <si>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</si>
  <si>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</si>
  <si>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</si>
  <si>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</si>
  <si>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</si>
  <si>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</si>
  <si>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</si>
  <si>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</si>
  <si>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</si>
  <si>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</si>
  <si>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</si>
  <si>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</si>
  <si>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</si>
  <si>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</si>
  <si>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</si>
  <si>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</si>
  <si>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</si>
  <si>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</si>
  <si>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</si>
  <si>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</si>
  <si>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</si>
  <si>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</si>
  <si>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</si>
  <si>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</si>
  <si>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</si>
  <si>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</si>
  <si>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</si>
  <si>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</si>
  <si>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</si>
  <si>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</si>
  <si>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</si>
  <si>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</si>
  <si>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</si>
  <si>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</si>
  <si>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</si>
  <si>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</si>
  <si>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</si>
  <si>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</si>
  <si>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</si>
  <si>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</si>
  <si>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</si>
  <si>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</si>
  <si>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</si>
  <si>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</si>
  <si>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</si>
  <si>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</si>
  <si>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</si>
  <si>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</si>
  <si>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</si>
  <si>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</si>
  <si>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</si>
  <si>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</si>
  <si>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</si>
  <si>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</si>
  <si>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</si>
  <si>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</si>
  <si>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</si>
  <si>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</si>
  <si>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</si>
  <si>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</si>
  <si>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</si>
  <si>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</si>
  <si>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</si>
  <si>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</si>
  <si>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</si>
  <si>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</si>
  <si>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</si>
  <si>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</si>
  <si>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</si>
  <si>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</si>
  <si>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</si>
  <si>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</si>
  <si>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</si>
  <si>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</si>
  <si>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</si>
  <si>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</si>
  <si>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</si>
  <si>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</si>
  <si>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</si>
  <si>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</si>
  <si>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</si>
  <si>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</si>
  <si>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</si>
  <si>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</si>
  <si>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</si>
  <si>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</si>
  <si>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</si>
  <si>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</si>
  <si>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</si>
  <si>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</si>
  <si>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</si>
  <si>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</si>
  <si>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</si>
  <si>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</si>
  <si>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</si>
  <si>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</si>
  <si>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</si>
  <si>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</si>
  <si>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</si>
  <si>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</si>
  <si>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</si>
  <si>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</si>
  <si>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</si>
  <si>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</si>
  <si>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</si>
  <si>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</si>
  <si>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</si>
  <si>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</si>
  <si>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</si>
  <si>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</si>
  <si>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</si>
  <si>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</si>
  <si>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</si>
  <si>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</si>
  <si>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</si>
  <si>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</si>
  <si>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</si>
  <si>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</si>
  <si>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</si>
  <si>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</si>
  <si>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</si>
  <si>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</si>
  <si>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</si>
  <si>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</si>
  <si>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</si>
  <si>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</si>
  <si>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</si>
  <si>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</si>
  <si>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</si>
  <si>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</si>
  <si>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</si>
  <si>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</si>
  <si>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</si>
  <si>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</si>
  <si>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</si>
  <si>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</si>
  <si>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</si>
  <si>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</si>
  <si>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</si>
  <si>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</si>
  <si>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</si>
  <si>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</si>
  <si>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</si>
  <si>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</si>
  <si>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</si>
  <si>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</si>
  <si>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</si>
  <si>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</si>
  <si>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</si>
  <si>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</si>
  <si>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</si>
  <si>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</si>
  <si>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</si>
  <si>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</si>
  <si>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</si>
  <si>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</si>
  <si>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</si>
  <si>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</si>
  <si>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</si>
  <si>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</si>
  <si>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</si>
  <si>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</si>
  <si>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</si>
  <si>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</si>
  <si>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</si>
  <si>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</si>
  <si>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</si>
  <si>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</si>
  <si>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</si>
  <si>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</si>
  <si>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</si>
  <si>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</si>
  <si>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</si>
  <si>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</si>
  <si>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</si>
  <si>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</si>
  <si>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</si>
  <si>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</si>
  <si>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</si>
  <si>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</si>
  <si>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</si>
  <si>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</si>
  <si>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</si>
  <si>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</si>
  <si>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</si>
  <si>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</si>
  <si>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</si>
  <si>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</si>
  <si>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</si>
  <si>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</si>
  <si>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</si>
  <si>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</si>
  <si>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</si>
  <si>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</si>
  <si>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</si>
  <si>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</si>
  <si>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</si>
  <si>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</si>
  <si>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</si>
  <si>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</si>
  <si>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</si>
  <si>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</si>
  <si>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</si>
  <si>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</si>
  <si>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</si>
  <si>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</si>
  <si>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</si>
  <si>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</si>
  <si>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</si>
  <si>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</si>
  <si>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</si>
  <si>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</si>
  <si>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</si>
  <si>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</si>
  <si>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</si>
  <si>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</si>
  <si>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</si>
  <si>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</si>
  <si>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</si>
  <si>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</si>
  <si>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</si>
  <si>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</si>
  <si>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</si>
  <si>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</si>
  <si>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</si>
  <si>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</si>
  <si>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</si>
  <si>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</si>
  <si>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</si>
  <si>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</si>
  <si>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</si>
  <si>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</si>
  <si>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</si>
  <si>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</si>
  <si>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</si>
  <si>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</si>
  <si>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</si>
  <si>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</si>
  <si>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</si>
  <si>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</si>
  <si>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</si>
  <si>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</si>
  <si>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</si>
  <si>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</si>
  <si>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</si>
  <si>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</si>
  <si>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</si>
  <si>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</si>
  <si>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</si>
  <si>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</si>
  <si>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</si>
  <si>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</si>
  <si>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</si>
  <si>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</si>
  <si>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</si>
  <si>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</si>
  <si>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</si>
  <si>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</si>
  <si>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</si>
  <si>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</si>
  <si>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</si>
  <si>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</si>
  <si>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</si>
  <si>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</si>
  <si>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</si>
  <si>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</si>
  <si>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</si>
  <si>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</si>
  <si>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</si>
  <si>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</si>
  <si>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</si>
  <si>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</si>
  <si>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</si>
  <si>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</si>
  <si>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</si>
  <si>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</si>
  <si>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</si>
  <si>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</si>
  <si>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</si>
  <si>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</si>
  <si>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</si>
  <si>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</si>
  <si>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</si>
  <si>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</si>
  <si>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</si>
  <si>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</si>
  <si>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</si>
  <si>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</si>
  <si>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</si>
  <si>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</si>
  <si>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</si>
  <si>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</si>
  <si>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</si>
  <si>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</si>
  <si>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</si>
  <si>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</si>
  <si>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</si>
  <si>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</si>
  <si>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</si>
  <si>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</si>
  <si>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</si>
  <si>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</si>
  <si>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</si>
  <si>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</si>
  <si>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</si>
  <si>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</si>
  <si>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</si>
  <si>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</si>
  <si>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</si>
  <si>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</si>
  <si>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</si>
  <si>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</si>
  <si>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</si>
  <si>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</si>
  <si>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</si>
  <si>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</si>
  <si>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</si>
  <si>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</si>
  <si>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</si>
  <si>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</si>
  <si>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</si>
  <si>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</si>
  <si>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</si>
  <si>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</si>
  <si>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</si>
  <si>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</si>
  <si>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</si>
  <si>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</si>
  <si>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</si>
  <si>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</si>
  <si>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</si>
  <si>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</si>
  <si>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</si>
  <si>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</si>
  <si>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</si>
  <si>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</si>
  <si>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</si>
  <si>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</si>
  <si>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</si>
  <si>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</si>
  <si>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</si>
  <si>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</si>
  <si>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</si>
  <si>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</si>
  <si>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</si>
  <si>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</si>
  <si>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</si>
  <si>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</si>
  <si>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</si>
  <si>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</si>
  <si>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</si>
  <si>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</si>
  <si>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</si>
  <si>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</si>
  <si>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</si>
  <si>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</si>
  <si>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</si>
  <si>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</si>
  <si>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</si>
  <si>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</si>
  <si>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</si>
  <si>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</si>
  <si>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</si>
  <si>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</si>
  <si>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</si>
  <si>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</si>
  <si>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</si>
  <si>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</si>
  <si>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</si>
  <si>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</si>
  <si>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</si>
  <si>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</si>
  <si>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</si>
  <si>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</si>
  <si>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</si>
  <si>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</si>
  <si>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</si>
  <si>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</si>
  <si>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</si>
  <si>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</si>
  <si>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</si>
  <si>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</si>
  <si>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</si>
  <si>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</si>
  <si>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</si>
  <si>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</si>
  <si>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</si>
  <si>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</si>
  <si>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</si>
  <si>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</si>
  <si>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</si>
  <si>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</si>
  <si>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</si>
  <si>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</si>
  <si>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</si>
  <si>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</si>
  <si>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</si>
  <si>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</si>
  <si>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</si>
  <si>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</si>
  <si>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</si>
  <si>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</si>
  <si>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</si>
  <si>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</si>
  <si>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</si>
  <si>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</si>
  <si>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</si>
  <si>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</si>
  <si>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</si>
  <si>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</si>
  <si>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</si>
  <si>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</si>
  <si>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</si>
  <si>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</si>
  <si>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</si>
  <si>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</si>
  <si>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</si>
  <si>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</si>
  <si>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</si>
  <si>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</si>
  <si>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</si>
  <si>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</si>
  <si>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</si>
  <si>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</si>
  <si>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</si>
  <si>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</si>
  <si>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</si>
  <si>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</si>
  <si>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</si>
  <si>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</si>
  <si>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</si>
  <si>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</si>
  <si>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</si>
  <si>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</si>
  <si>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</si>
  <si>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</si>
  <si>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</si>
  <si>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</si>
  <si>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</si>
  <si>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</si>
  <si>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</si>
  <si>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</si>
  <si>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</si>
  <si>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</si>
  <si>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</si>
  <si>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</si>
  <si>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</si>
  <si>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</si>
  <si>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</si>
  <si>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</si>
  <si>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</si>
  <si>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</si>
  <si>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</si>
  <si>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</si>
  <si>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</si>
  <si>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</si>
  <si>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</si>
  <si>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</si>
  <si>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</si>
  <si>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</si>
  <si>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</si>
  <si>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</si>
  <si>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</si>
  <si>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</si>
  <si>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</si>
  <si>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</si>
  <si>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</si>
  <si>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</si>
  <si>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</si>
  <si>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</si>
  <si>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</si>
  <si>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</si>
  <si>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</si>
  <si>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</si>
  <si>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</si>
  <si>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</si>
  <si>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</si>
  <si>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</si>
  <si>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</si>
  <si>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</si>
  <si>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</si>
  <si>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</si>
  <si>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</si>
  <si>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</si>
  <si>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</si>
  <si>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</si>
  <si>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</si>
  <si>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</si>
  <si>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</si>
  <si>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</si>
  <si>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</si>
  <si>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</si>
  <si>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</si>
  <si>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</si>
  <si>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</si>
  <si>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</si>
  <si>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</si>
  <si>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</si>
  <si>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</si>
  <si>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</si>
  <si>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</si>
  <si>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</si>
  <si>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</si>
  <si>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</si>
  <si>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</si>
  <si>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</si>
  <si>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</si>
  <si>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</si>
  <si>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</si>
  <si>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</si>
  <si>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</si>
  <si>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</si>
  <si>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</si>
  <si>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</si>
  <si>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</si>
  <si>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</si>
  <si>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</si>
  <si>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</si>
  <si>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</si>
  <si>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</si>
  <si>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</si>
  <si>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</si>
  <si>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</si>
  <si>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</si>
  <si>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</si>
  <si>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</si>
  <si>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</si>
  <si>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</si>
  <si>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</si>
  <si>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</si>
  <si>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</si>
  <si>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</si>
  <si>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</si>
  <si>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</si>
  <si>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</si>
  <si>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</si>
  <si>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</si>
  <si>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</si>
  <si>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</si>
  <si>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</si>
  <si>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</si>
  <si>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</si>
  <si>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</si>
  <si>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</si>
  <si>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</si>
  <si>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</si>
  <si>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</si>
  <si>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</si>
  <si>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</si>
  <si>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</si>
  <si>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</si>
  <si>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</si>
  <si>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</si>
  <si>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</si>
  <si>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</si>
  <si>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</si>
  <si>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</si>
  <si>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</si>
  <si>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</si>
  <si>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</si>
  <si>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</si>
  <si>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</si>
  <si>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</si>
  <si>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</si>
  <si>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</si>
  <si>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</si>
  <si>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</si>
  <si>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</si>
  <si>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</si>
  <si>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</si>
  <si>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</si>
  <si>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</si>
  <si>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</si>
  <si>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</si>
  <si>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</si>
  <si>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</si>
  <si>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</si>
  <si>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</si>
  <si>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</si>
  <si>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</si>
  <si>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</si>
  <si>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</si>
  <si>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</si>
  <si>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</si>
  <si>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</si>
  <si>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</si>
  <si>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</si>
  <si>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</si>
  <si>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</si>
  <si>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</si>
  <si>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</si>
  <si>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</si>
  <si>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</si>
  <si>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</si>
  <si>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</si>
  <si>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</si>
  <si>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</si>
  <si>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</si>
  <si>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</si>
  <si>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</si>
  <si>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</si>
  <si>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</si>
  <si>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</si>
  <si>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</si>
  <si>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</si>
  <si>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</si>
  <si>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</si>
  <si>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</si>
  <si>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</si>
  <si>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</si>
  <si>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</si>
  <si>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</si>
  <si>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</si>
  <si>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</si>
  <si>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</si>
  <si>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</si>
  <si>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</si>
  <si>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</si>
  <si>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</si>
  <si>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</si>
  <si>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</si>
  <si>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</si>
  <si>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</si>
  <si>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</si>
  <si>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</si>
  <si>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</si>
  <si>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</si>
  <si>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</si>
  <si>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</si>
  <si>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</si>
  <si>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</si>
  <si>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</si>
  <si>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</si>
  <si>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</si>
  <si>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</si>
  <si>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</si>
  <si>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</si>
  <si>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</si>
  <si>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</si>
  <si>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</si>
  <si>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</si>
  <si>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</si>
  <si>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</si>
  <si>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</si>
  <si>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</si>
  <si>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</si>
  <si>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</si>
  <si>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</si>
  <si>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</si>
  <si>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</si>
  <si>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</si>
  <si>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</si>
  <si>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</si>
  <si>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</si>
  <si>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</si>
  <si>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</si>
  <si>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</si>
  <si>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</si>
  <si>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</si>
  <si>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</si>
  <si>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</si>
  <si>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</si>
  <si>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</si>
  <si>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</si>
  <si>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</si>
  <si>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</si>
  <si>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</si>
  <si>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</si>
  <si>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</si>
  <si>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</si>
  <si>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</si>
  <si>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</si>
  <si>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</si>
  <si>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</si>
  <si>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</si>
  <si>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</si>
  <si>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</si>
  <si>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</si>
  <si>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</si>
  <si>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</si>
  <si>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</si>
  <si>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</si>
  <si>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</si>
  <si>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</si>
  <si>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</si>
  <si>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</si>
  <si>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</si>
  <si>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</si>
  <si>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</si>
  <si>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</si>
  <si>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</si>
  <si>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</si>
  <si>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</si>
  <si>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</si>
  <si>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</si>
  <si>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</si>
  <si>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</si>
  <si>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</si>
  <si>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</si>
  <si>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</si>
  <si>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</si>
  <si>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</si>
  <si>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</si>
  <si>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</si>
  <si>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</si>
  <si>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</si>
  <si>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</si>
  <si>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</si>
  <si>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</si>
  <si>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</si>
  <si>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</si>
  <si>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</si>
  <si>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</si>
  <si>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</si>
  <si>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</si>
  <si>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</si>
  <si>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</si>
  <si>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</si>
  <si>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</si>
  <si>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</si>
  <si>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</si>
  <si>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</si>
  <si>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</si>
  <si>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</si>
  <si>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</si>
  <si>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</si>
  <si>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</si>
  <si>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</si>
  <si>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</si>
  <si>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</si>
  <si>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</si>
  <si>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</si>
  <si>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</si>
  <si>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</si>
  <si>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</si>
  <si>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</si>
  <si>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</si>
  <si>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</si>
  <si>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</si>
  <si>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</si>
  <si>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</si>
  <si>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</si>
  <si>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</si>
  <si>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</si>
  <si>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</si>
  <si>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</si>
  <si>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</si>
  <si>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</si>
  <si>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</si>
  <si>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</si>
  <si>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</si>
  <si>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</si>
  <si>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</si>
  <si>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</si>
  <si>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</si>
  <si>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</si>
  <si>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</si>
  <si>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</si>
  <si>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</si>
  <si>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</si>
  <si>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</si>
  <si>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</si>
  <si>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</si>
  <si>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</si>
  <si>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</si>
  <si>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</si>
  <si>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</si>
  <si>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</si>
  <si>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</si>
  <si>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</si>
  <si>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</si>
  <si>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</si>
  <si>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</si>
  <si>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</si>
  <si>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</si>
  <si>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</si>
  <si>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</si>
  <si>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</si>
  <si>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</si>
  <si>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</si>
  <si>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</si>
  <si>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</si>
  <si>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</si>
  <si>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</si>
  <si>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</si>
  <si>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</si>
  <si>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</si>
  <si>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</si>
  <si>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</si>
  <si>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</si>
  <si>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</si>
  <si>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</si>
  <si>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</si>
  <si>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</si>
  <si>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</si>
  <si>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</si>
  <si>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</si>
  <si>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</si>
  <si>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</si>
  <si>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</si>
  <si>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</si>
  <si>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</si>
  <si>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</si>
  <si>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</si>
  <si>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</si>
  <si>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</si>
  <si>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</si>
  <si>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</si>
  <si>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</si>
  <si>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</si>
  <si>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</si>
  <si>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</si>
  <si>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</si>
  <si>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</si>
  <si>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</si>
  <si>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</si>
  <si>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</si>
  <si>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</si>
  <si>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</si>
  <si>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</si>
  <si>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</si>
  <si>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</si>
  <si>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</si>
  <si>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</si>
  <si>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</si>
  <si>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</si>
  <si>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</si>
  <si>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</si>
  <si>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</si>
  <si>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</si>
  <si>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</si>
  <si>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</si>
  <si>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</si>
  <si>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</si>
  <si>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</si>
  <si>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</si>
  <si>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</si>
  <si>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</si>
  <si>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</si>
  <si>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</si>
  <si>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</si>
  <si>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</si>
  <si>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</si>
  <si>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</si>
  <si>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</si>
  <si>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</si>
  <si>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</si>
  <si>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</si>
  <si>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</si>
  <si>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</si>
  <si>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</si>
  <si>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</si>
  <si>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</si>
  <si>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</si>
  <si>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</si>
  <si>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</si>
  <si>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</si>
  <si>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</si>
  <si>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</si>
  <si>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</si>
  <si>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</si>
  <si>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</si>
  <si>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</si>
  <si>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</si>
  <si>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</si>
  <si>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</si>
  <si>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</si>
  <si>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</si>
  <si>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</si>
  <si>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</si>
  <si>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</si>
  <si>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</si>
  <si>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</si>
  <si>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</si>
  <si>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</si>
  <si>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</si>
  <si>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</si>
  <si>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</si>
  <si>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</si>
  <si>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</si>
  <si>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</si>
  <si>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</si>
  <si>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</si>
  <si>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</si>
  <si>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</si>
  <si>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</si>
  <si>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</si>
  <si>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</si>
  <si>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</si>
  <si>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</si>
  <si>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</si>
  <si>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</si>
  <si>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</si>
  <si>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</si>
  <si>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</si>
  <si>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</si>
  <si>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</si>
  <si>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</si>
  <si>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</si>
  <si>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</si>
  <si>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</si>
  <si>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</si>
  <si>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</si>
  <si>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</si>
  <si>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</si>
  <si>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</si>
  <si>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</si>
  <si>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</si>
  <si>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</si>
  <si>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</si>
  <si>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</si>
  <si>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</si>
  <si>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</si>
  <si>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</si>
  <si>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</si>
  <si>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</si>
  <si>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</si>
  <si>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</si>
  <si>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</si>
  <si>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</si>
  <si>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</si>
  <si>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</si>
  <si>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</si>
  <si>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</si>
  <si>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</si>
  <si>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</si>
  <si>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</si>
  <si>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</si>
  <si>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</si>
  <si>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</si>
  <si>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</si>
  <si>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</si>
  <si>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</si>
  <si>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</si>
  <si>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</si>
  <si>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</si>
  <si>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</si>
  <si>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</si>
  <si>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</si>
  <si>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</si>
  <si>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</si>
  <si>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</si>
  <si>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</si>
  <si>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</si>
  <si>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</si>
  <si>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</si>
  <si>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</si>
  <si>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</si>
  <si>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</si>
  <si>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多面临街</t>
    <phoneticPr fontId="96" type="noConversion"/>
  </si>
  <si>
    <t>双面临街</t>
    <phoneticPr fontId="96" type="noConversion"/>
  </si>
  <si>
    <t>单面临街</t>
    <phoneticPr fontId="96" type="noConversion"/>
  </si>
  <si>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</si>
  <si>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</si>
  <si>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</si>
  <si>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</si>
  <si>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</si>
  <si>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</si>
  <si>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</si>
  <si>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</si>
  <si>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</si>
  <si>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</si>
  <si>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</si>
  <si>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</si>
  <si>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</si>
  <si>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</si>
  <si>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</si>
  <si>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</si>
  <si>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</si>
  <si>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</si>
  <si>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</si>
  <si>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</si>
  <si>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</si>
  <si>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</si>
  <si>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</si>
  <si>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</si>
  <si>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</si>
  <si>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</si>
  <si>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</si>
  <si>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</si>
  <si>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</si>
  <si>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</si>
  <si>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</si>
  <si>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</si>
  <si>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</si>
  <si>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</si>
  <si>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</si>
  <si>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</si>
  <si>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</si>
  <si>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</si>
  <si>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</si>
  <si>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单面临街</t>
  </si>
  <si>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</si>
  <si>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</si>
  <si>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</si>
  <si>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</si>
  <si>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</si>
  <si>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</si>
  <si>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</si>
  <si>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</si>
  <si>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</si>
  <si>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</si>
  <si>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</si>
  <si>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</si>
  <si>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</si>
  <si>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</si>
  <si>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一般</t>
    <phoneticPr fontId="225"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</si>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</sst>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103" fillId="0" borderId="14" xfId="0" applyFont="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1056</v>
      </c>
    </row>
    <row r="21" spans="1:2">
      <c r="A21" s="3167" t="s">
        <v>21</v>
      </c>
      <c r="B21" s="3168">
        <f ca="1">'预评函-2'!D7</f>
        <v>29717</v>
      </c>
    </row>
    <row r="22" spans="1:2">
      <c r="A22" s="3167" t="s">
        <v>22</v>
      </c>
      <c r="B22" s="3168" t="str">
        <f ca="1">'预评函-2'!D6</f>
        <v>壹仟零伍拾陆万元整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1056</v>
      </c>
    </row>
    <row r="31" spans="1:2">
      <c r="A31" s="3167" t="s">
        <v>31</v>
      </c>
      <c r="B31" s="3168">
        <f ca="1">'预评函-2'!D15</f>
        <v>29717</v>
      </c>
    </row>
    <row r="32" spans="1:2">
      <c r="A32" s="3167" t="s">
        <v>32</v>
      </c>
      <c r="B32" s="3168" t="str">
        <f ca="1">'预评函-2'!D14</f>
        <v>壹仟零伍拾陆万元整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807</v>
      </c>
    </row>
    <row r="48" spans="1:2">
      <c r="A48" s="3167" t="s">
        <v>48</v>
      </c>
      <c r="B48" s="3168">
        <f ca="1">'预评函-3'!E4</f>
        <v>22704</v>
      </c>
    </row>
    <row r="49" spans="1:2">
      <c r="A49" s="3167" t="s">
        <v>49</v>
      </c>
      <c r="B49" s="3168" t="str">
        <f ca="1">'预评函-3'!D5</f>
        <v>捌佰零柒万元整</v>
      </c>
    </row>
    <row r="50" spans="1:2">
      <c r="A50" s="3167" t="s">
        <v>50</v>
      </c>
      <c r="B50" s="3168" t="str">
        <f>'预评函-3'!F2</f>
        <v>在建建筑物价值</v>
      </c>
    </row>
    <row r="51" spans="1:2">
      <c r="A51" s="3167" t="s">
        <v>51</v>
      </c>
      <c r="B51" s="3168">
        <f ca="1">'预评函-3'!F4</f>
        <v>249</v>
      </c>
    </row>
    <row r="52" spans="1:2">
      <c r="A52" s="3167" t="s">
        <v>52</v>
      </c>
      <c r="B52" s="3168">
        <f ca="1">'预评函-3'!G4</f>
        <v>7013</v>
      </c>
    </row>
    <row r="53" spans="1:2">
      <c r="A53" s="3167" t="s">
        <v>53</v>
      </c>
      <c r="B53" s="3168" t="str">
        <f ca="1">'预评函-3'!F5</f>
        <v>贰佰肆拾玖万元整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2861</v>
      </c>
      <c r="C19" s="3059"/>
    </row>
    <row r="20" spans="1:3">
      <c r="A20" s="3058" t="s">
        <v>316</v>
      </c>
      <c r="B20" s="3058" t="s">
        <v>2864</v>
      </c>
      <c r="C20" s="3059"/>
    </row>
    <row r="21" spans="1:3">
      <c r="A21" s="3058" t="s">
        <v>260</v>
      </c>
      <c r="B21" s="3060" t="s">
        <v>2862</v>
      </c>
      <c r="C21" s="3059"/>
    </row>
    <row r="22" spans="1:3">
      <c r="A22" s="3058" t="s">
        <v>317</v>
      </c>
      <c r="B22" s="3058" t="s">
        <v>2866</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1"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1"/>
      <c r="B54" s="3062" t="s">
        <v>330</v>
      </c>
      <c r="C54" s="3052" t="s">
        <v>331</v>
      </c>
    </row>
    <row r="55" spans="1:4">
      <c r="A55" s="3231"/>
      <c r="B55" s="3062" t="s">
        <v>332</v>
      </c>
      <c r="C55" s="3052" t="s">
        <v>333</v>
      </c>
    </row>
    <row r="56" spans="1:4">
      <c r="A56" s="3231"/>
      <c r="B56" s="3062" t="s">
        <v>334</v>
      </c>
      <c r="C56" s="3052" t="s">
        <v>335</v>
      </c>
    </row>
    <row r="57" spans="1:4">
      <c r="A57" s="3231"/>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2" t="s">
        <v>340</v>
      </c>
      <c r="J2" s="3232"/>
      <c r="K2" s="3232"/>
      <c r="L2" s="3232"/>
      <c r="M2" s="3232"/>
      <c r="N2" s="3232"/>
      <c r="O2" s="3232"/>
      <c r="P2" s="3232"/>
      <c r="Q2" s="3232"/>
      <c r="R2" s="3232"/>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workbookViewId="0">
      <selection activeCell="G9" sqref="G9"/>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37"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38"/>
      <c r="D1" s="3238"/>
      <c r="E1" s="3238"/>
      <c r="F1" s="3238"/>
      <c r="G1" s="3238"/>
      <c r="H1" s="3238"/>
      <c r="I1" s="3239"/>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52" t="s">
        <v>447</v>
      </c>
      <c r="E8" s="2901" t="s">
        <v>330</v>
      </c>
      <c r="F8" s="2902"/>
      <c r="G8" s="2658"/>
      <c r="H8" s="2658"/>
      <c r="I8" s="2658"/>
      <c r="J8" s="2522"/>
      <c r="K8" s="2976"/>
      <c r="L8" s="2974"/>
      <c r="M8" s="2974"/>
      <c r="N8" s="2522"/>
      <c r="O8" s="2239"/>
      <c r="P8" s="2522"/>
      <c r="Q8" s="2522"/>
      <c r="R8" s="2522"/>
    </row>
    <row r="9" spans="1:30">
      <c r="A9" s="2903" t="s">
        <v>448</v>
      </c>
      <c r="B9" s="2904" t="s">
        <v>330</v>
      </c>
      <c r="C9" s="2905"/>
      <c r="D9" s="3253"/>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2788</v>
      </c>
      <c r="G10" s="2912"/>
      <c r="H10" s="2913"/>
      <c r="I10" s="2977"/>
      <c r="J10" s="2522"/>
      <c r="K10" s="2975"/>
      <c r="L10" s="2974"/>
      <c r="M10" s="2974"/>
      <c r="N10" s="2522"/>
      <c r="O10" s="2239"/>
      <c r="P10" s="2522"/>
      <c r="Q10" s="2522"/>
      <c r="R10" s="2522"/>
    </row>
    <row r="11" spans="1:30">
      <c r="A11" s="2914" t="s">
        <v>452</v>
      </c>
      <c r="B11" s="2915" t="s">
        <v>2794</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2851</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40" t="s">
        <v>466</v>
      </c>
      <c r="C16" s="3241"/>
      <c r="D16" s="3242"/>
      <c r="E16" s="2927" t="s">
        <v>467</v>
      </c>
      <c r="F16" s="3243"/>
      <c r="G16" s="3244"/>
      <c r="H16" s="3244"/>
      <c r="I16" s="3245"/>
      <c r="J16" s="2522"/>
      <c r="K16" s="2982"/>
      <c r="L16" s="2239"/>
      <c r="M16" s="2239"/>
      <c r="N16" s="2522"/>
      <c r="O16" s="2239"/>
      <c r="P16" s="2522"/>
      <c r="Q16" s="2522"/>
      <c r="R16" s="2522"/>
    </row>
    <row r="17" spans="1:28">
      <c r="A17" s="1866" t="s">
        <v>468</v>
      </c>
      <c r="B17" s="1855" t="s">
        <v>469</v>
      </c>
      <c r="C17" s="1472">
        <f>'数据-汇总表'!E3</f>
        <v>885.63</v>
      </c>
      <c r="D17" s="1908" t="s">
        <v>470</v>
      </c>
      <c r="E17" s="3246" t="s">
        <v>471</v>
      </c>
      <c r="F17" s="3247"/>
      <c r="G17" s="3247"/>
      <c r="H17" s="3247"/>
      <c r="I17" s="3248"/>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49" t="s">
        <v>474</v>
      </c>
      <c r="F18" s="3250"/>
      <c r="G18" s="3250"/>
      <c r="H18" s="3250"/>
      <c r="I18" s="3251"/>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56" t="s">
        <v>480</v>
      </c>
      <c r="C20" s="3257"/>
      <c r="D20" s="3258" t="s">
        <v>481</v>
      </c>
      <c r="E20" s="3259"/>
      <c r="F20" s="2936" t="s">
        <v>482</v>
      </c>
      <c r="G20" s="2658"/>
      <c r="H20" s="2658"/>
      <c r="I20" s="2658"/>
      <c r="J20" s="2522"/>
      <c r="K20" s="3254"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54"/>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54"/>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33"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33"/>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33"/>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34"/>
      <c r="B30" s="1855" t="s">
        <v>499</v>
      </c>
      <c r="C30" s="3260"/>
      <c r="D30" s="3261"/>
      <c r="E30" s="2658"/>
      <c r="F30" s="2658"/>
      <c r="G30" s="2658"/>
      <c r="H30" s="2658"/>
      <c r="I30" s="2658"/>
      <c r="J30" s="2522"/>
      <c r="K30" s="2975"/>
      <c r="L30" s="2974"/>
      <c r="M30" s="2974"/>
      <c r="N30" s="2522"/>
      <c r="O30" s="2239"/>
      <c r="P30" s="2522"/>
      <c r="Q30" s="2522"/>
      <c r="R30" s="2522"/>
      <c r="S30" s="2522"/>
      <c r="T30" s="2522"/>
      <c r="U30" s="2522"/>
      <c r="V30" s="2522"/>
    </row>
    <row r="31" spans="1:28">
      <c r="A31" s="3235"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36"/>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36"/>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55" t="s">
        <v>510</v>
      </c>
      <c r="T34" s="1896" t="str">
        <f>NUMBERSTRING(7-K34,1)&amp;"通"</f>
        <v>七通</v>
      </c>
      <c r="U34" s="2522"/>
      <c r="V34" s="2522"/>
    </row>
    <row r="35" spans="1:30">
      <c r="A35" s="2961"/>
      <c r="B35" s="3255" t="s">
        <v>511</v>
      </c>
      <c r="C35" s="3255"/>
      <c r="D35" s="3255"/>
      <c r="E35" s="3255"/>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5"/>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1" sqref="M21"/>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S35" sqref="S35"/>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1" t="s">
        <v>572</v>
      </c>
      <c r="B2" s="3271"/>
      <c r="C2" s="3271"/>
      <c r="D2" s="2424" t="s">
        <v>573</v>
      </c>
      <c r="E2" s="2734" t="s">
        <v>574</v>
      </c>
      <c r="F2" s="2597"/>
      <c r="G2" s="2735"/>
      <c r="H2" s="2736"/>
      <c r="I2" s="2333" t="s">
        <v>575</v>
      </c>
      <c r="J2" s="2597"/>
      <c r="K2" s="2597"/>
      <c r="L2" s="2597"/>
      <c r="M2" s="2597"/>
      <c r="N2" s="1071"/>
      <c r="O2" s="2597"/>
      <c r="P2" s="2597"/>
    </row>
    <row r="3" spans="1:16" ht="14.4">
      <c r="A3" s="3272" t="s">
        <v>576</v>
      </c>
      <c r="B3" s="3272"/>
      <c r="C3" s="3272"/>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73"/>
      <c r="B4" s="3274"/>
      <c r="C4" s="3275"/>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76" t="s">
        <v>581</v>
      </c>
      <c r="C5" s="3276"/>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76" t="s">
        <v>582</v>
      </c>
      <c r="C6" s="3276"/>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2"/>
      <c r="B7" s="3263"/>
      <c r="C7" s="3264"/>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65" t="s">
        <v>597</v>
      </c>
      <c r="L16" s="3266"/>
      <c r="M16" s="3266"/>
      <c r="N16" s="3266"/>
      <c r="O16" s="3266"/>
      <c r="P16" s="3267"/>
    </row>
    <row r="17" spans="1:19" ht="14.4">
      <c r="A17" s="2705" t="s">
        <v>598</v>
      </c>
      <c r="B17" s="2753" t="s">
        <v>599</v>
      </c>
      <c r="C17" s="2158" t="s">
        <v>600</v>
      </c>
      <c r="D17" s="2754" t="s">
        <v>573</v>
      </c>
      <c r="E17" s="2755" t="s">
        <v>574</v>
      </c>
      <c r="F17" s="2756"/>
      <c r="G17" s="2757"/>
      <c r="H17" s="2758" t="s">
        <v>601</v>
      </c>
      <c r="I17" s="2788" t="s">
        <v>602</v>
      </c>
      <c r="J17" s="2185"/>
      <c r="K17" s="3268" t="s">
        <v>603</v>
      </c>
      <c r="L17" s="3269"/>
      <c r="M17" s="3270"/>
      <c r="N17" s="3268" t="s">
        <v>604</v>
      </c>
      <c r="O17" s="3269"/>
      <c r="P17" s="3270"/>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S14" sqref="S14"/>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4.8</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3.0000000000000001E-3</v>
      </c>
      <c r="AL6" s="2720">
        <v>1E-3</v>
      </c>
      <c r="AM6" s="2721">
        <v>0.01</v>
      </c>
      <c r="AN6" s="2722" t="s">
        <v>266</v>
      </c>
      <c r="AO6" s="1126">
        <f ca="1">SUMIF(INDIRECT("'"&amp;AN6&amp;"'"&amp;"!A:A"),"总价",INDIRECT("'"&amp;AN6&amp;"'"&amp;"!B:B"))</f>
        <v>897.79499999999996</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v>3.0000000000000001E-3</v>
      </c>
      <c r="AL7" s="2720">
        <v>1E-3</v>
      </c>
      <c r="AM7" s="2721">
        <v>0.01</v>
      </c>
      <c r="AN7" s="2722" t="s">
        <v>2863</v>
      </c>
      <c r="AO7" s="1126">
        <f t="shared" ref="AO7:AO13" ca="1" si="9">SUMIF(INDIRECT("'"&amp;AN7&amp;"'"&amp;"!A:A"),"总价",INDIRECT("'"&amp;AN7&amp;"'"&amp;"!B:B"))</f>
        <v>986.96270000000004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v>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v>3.0000000000000001E-3</v>
      </c>
      <c r="AL8" s="2720">
        <v>1E-3</v>
      </c>
      <c r="AM8" s="2721">
        <v>0.01</v>
      </c>
      <c r="AN8" s="2722" t="s">
        <v>2865</v>
      </c>
      <c r="AO8" s="1126">
        <f t="shared" ca="1" si="9"/>
        <v>408.98270000000002</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2790</v>
      </c>
      <c r="N19" s="2408">
        <v>0.8</v>
      </c>
      <c r="O19" s="2408"/>
      <c r="P19" s="2408"/>
      <c r="Q19" s="2408"/>
      <c r="R19" s="2408"/>
      <c r="S19" s="2408"/>
      <c r="T19" s="2408"/>
      <c r="U19" s="3181"/>
      <c r="V19" s="3109" t="s">
        <v>2833</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2834</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2835</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2836</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2837</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2838</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2850</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77" t="s">
        <v>731</v>
      </c>
      <c r="B1" s="3278"/>
      <c r="C1" s="3278"/>
      <c r="D1" s="3278"/>
      <c r="E1" s="3278"/>
      <c r="F1" s="3278"/>
      <c r="G1" s="3278"/>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2856</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2797</v>
      </c>
      <c r="D6" s="2515"/>
      <c r="E6" s="2520"/>
      <c r="F6" s="1896" t="s">
        <v>740</v>
      </c>
      <c r="G6" s="2521"/>
      <c r="H6" s="2397"/>
      <c r="I6" s="2397"/>
      <c r="J6" s="2397"/>
      <c r="K6" s="2397"/>
      <c r="L6" s="2397"/>
      <c r="M6" s="2397"/>
      <c r="N6" s="2397"/>
      <c r="O6" s="2397"/>
      <c r="P6" s="2397"/>
      <c r="Q6" s="2397"/>
    </row>
    <row r="7" spans="1:29">
      <c r="A7" s="2516"/>
      <c r="B7" s="1896" t="s">
        <v>563</v>
      </c>
      <c r="C7" s="3178" t="s">
        <v>2797</v>
      </c>
      <c r="D7" s="2522"/>
      <c r="E7" s="2523"/>
      <c r="F7" s="2524" t="s">
        <v>741</v>
      </c>
      <c r="G7" s="2525"/>
      <c r="H7" s="2397"/>
      <c r="I7" s="2397"/>
      <c r="J7" s="2397"/>
      <c r="K7" s="2397"/>
      <c r="L7" s="2397"/>
      <c r="M7" s="2397"/>
      <c r="N7" s="2397"/>
      <c r="O7" s="2397"/>
      <c r="P7" s="2397"/>
      <c r="Q7" s="2397"/>
    </row>
    <row r="8" spans="1:29">
      <c r="A8" s="2516"/>
      <c r="B8" s="1896" t="s">
        <v>740</v>
      </c>
      <c r="C8" s="3179" t="s">
        <v>2798</v>
      </c>
      <c r="D8" s="2522"/>
      <c r="E8" s="2522"/>
      <c r="F8" s="1458"/>
      <c r="G8" s="1458"/>
      <c r="H8" s="2397"/>
      <c r="I8" s="2397"/>
      <c r="J8" s="2397"/>
      <c r="K8" s="2397"/>
      <c r="L8" s="2397"/>
      <c r="M8" s="2397"/>
      <c r="N8" s="2397"/>
      <c r="O8" s="2397"/>
      <c r="P8" s="2397"/>
      <c r="Q8" s="2397"/>
    </row>
    <row r="9" spans="1:29">
      <c r="A9" s="2516"/>
      <c r="B9" s="1896" t="s">
        <v>742</v>
      </c>
      <c r="C9" s="3178" t="s">
        <v>2797</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M17" sqref="M17"/>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355.32</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1056</v>
      </c>
      <c r="C5" s="2490">
        <f ca="1">IF(B5=D14,结果表110!H102,ROUND(B5*10000/$B$1,0))</f>
        <v>29717</v>
      </c>
      <c r="D5" s="2490" t="e">
        <f ca="1">ROUND(B5*10000/$B$2,0)</f>
        <v>#DIV/0!</v>
      </c>
      <c r="E5" s="2491">
        <f ca="1">B5*10000</f>
        <v>10560000</v>
      </c>
      <c r="F5" s="3279" t="str">
        <f ca="1">NUMBERSTRING(INT(E5*10000),2)&amp;"元整"</f>
        <v>壹仟零伍拾陆亿元整</v>
      </c>
      <c r="G5" s="3280"/>
      <c r="H5" s="2492"/>
      <c r="I5" s="2492"/>
      <c r="J5" s="2492"/>
      <c r="K5" s="2492"/>
    </row>
    <row r="6" spans="1:11" ht="15.6">
      <c r="A6" s="2490" t="s">
        <v>756</v>
      </c>
      <c r="B6" s="2490">
        <f ca="1">SUM(G14:G23)</f>
        <v>1056</v>
      </c>
      <c r="C6" s="2490">
        <f ca="1">IF(B6=G14,结果表110!H108,ROUND(B6*10000/$B$1,0))</f>
        <v>29717</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79" t="str">
        <f>NUMBERSTRING(INT(E8*10000),2)&amp;"元整"</f>
        <v>零元整</v>
      </c>
      <c r="G8" s="3280"/>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结果表110!B118</f>
        <v>355.32</v>
      </c>
      <c r="C14" s="2501"/>
      <c r="D14" s="2501">
        <f ca="1">结果表110!H118</f>
        <v>1056</v>
      </c>
      <c r="E14" s="2501">
        <f ca="1">结果表110!I118</f>
        <v>29717</v>
      </c>
      <c r="F14" s="2501" t="e">
        <f ca="1">ROUND(D14*10000/C14,0)</f>
        <v>#DIV/0!</v>
      </c>
      <c r="G14" s="2501">
        <f ca="1">D14</f>
        <v>1056</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F8" sqref="F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281" t="str">
        <f>项目基本情况!S2</f>
        <v>北京市朝阳区西大望路15号3号楼6层604房地产</v>
      </c>
      <c r="B2" s="3282"/>
      <c r="C2" s="3282"/>
      <c r="D2" s="3282"/>
      <c r="E2" s="3282"/>
      <c r="F2" s="3282"/>
      <c r="G2" s="3282"/>
      <c r="H2" s="3282"/>
      <c r="I2" s="3283"/>
    </row>
    <row r="3" spans="1:12" ht="13.2">
      <c r="A3" s="3284" t="s">
        <v>780</v>
      </c>
      <c r="B3" s="3285"/>
      <c r="C3" s="3285"/>
      <c r="D3" s="3285"/>
      <c r="E3" s="3285"/>
      <c r="F3" s="3285"/>
      <c r="G3" s="3285"/>
      <c r="H3" s="3285"/>
      <c r="I3" s="3285"/>
    </row>
    <row r="4" spans="1:12" ht="14.4">
      <c r="A4" s="2119" t="s">
        <v>781</v>
      </c>
      <c r="B4" s="2120" t="s">
        <v>782</v>
      </c>
      <c r="C4" s="2121" t="s">
        <v>2849</v>
      </c>
      <c r="D4" s="2121" t="s">
        <v>266</v>
      </c>
      <c r="E4" s="3286" t="s">
        <v>783</v>
      </c>
      <c r="F4" s="3287"/>
      <c r="G4" s="3287"/>
      <c r="H4" s="3287"/>
      <c r="I4" s="3288"/>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331" t="s">
        <v>784</v>
      </c>
      <c r="B5" s="3369">
        <v>25</v>
      </c>
      <c r="C5" s="3301"/>
      <c r="D5" s="3300"/>
      <c r="E5" s="1895" t="s">
        <v>785</v>
      </c>
      <c r="F5" s="2125"/>
      <c r="G5" s="2125"/>
      <c r="H5" s="2125"/>
      <c r="I5" s="2249"/>
    </row>
    <row r="6" spans="1:12" ht="13.2">
      <c r="A6" s="3331"/>
      <c r="B6" s="3369"/>
      <c r="C6" s="3302"/>
      <c r="D6" s="3300"/>
      <c r="E6" s="1895" t="s">
        <v>786</v>
      </c>
      <c r="F6" s="2125"/>
      <c r="G6" s="2125"/>
      <c r="H6" s="2125"/>
      <c r="I6" s="2249"/>
    </row>
    <row r="7" spans="1:12" ht="13.2">
      <c r="A7" s="3331"/>
      <c r="B7" s="3369"/>
      <c r="C7" s="3303"/>
      <c r="D7" s="3300"/>
      <c r="E7" s="1895" t="s">
        <v>787</v>
      </c>
      <c r="F7" s="2125"/>
      <c r="G7" s="2125"/>
      <c r="H7" s="2125"/>
      <c r="I7" s="2249"/>
    </row>
    <row r="8" spans="1:12" ht="13.2">
      <c r="A8" s="3331" t="s">
        <v>788</v>
      </c>
      <c r="B8" s="3369">
        <v>15</v>
      </c>
      <c r="C8" s="3301"/>
      <c r="D8" s="3300"/>
      <c r="E8" s="1895" t="s">
        <v>789</v>
      </c>
      <c r="F8" s="2125"/>
      <c r="G8" s="2125"/>
      <c r="H8" s="2125"/>
      <c r="I8" s="2249"/>
    </row>
    <row r="9" spans="1:12" ht="13.2">
      <c r="A9" s="3331"/>
      <c r="B9" s="3369"/>
      <c r="C9" s="3303"/>
      <c r="D9" s="3300"/>
      <c r="E9" s="1895" t="s">
        <v>790</v>
      </c>
      <c r="F9" s="2125"/>
      <c r="G9" s="2125"/>
      <c r="H9" s="2125"/>
      <c r="I9" s="2249"/>
    </row>
    <row r="10" spans="1:12" ht="13.2">
      <c r="A10" s="3331" t="s">
        <v>791</v>
      </c>
      <c r="B10" s="3369">
        <v>15</v>
      </c>
      <c r="C10" s="3301"/>
      <c r="D10" s="3300"/>
      <c r="E10" s="1895" t="s">
        <v>792</v>
      </c>
      <c r="F10" s="2125"/>
      <c r="G10" s="2125"/>
      <c r="H10" s="2125"/>
      <c r="I10" s="2249"/>
    </row>
    <row r="11" spans="1:12" ht="13.2">
      <c r="A11" s="3331"/>
      <c r="B11" s="3369"/>
      <c r="C11" s="3303"/>
      <c r="D11" s="3300"/>
      <c r="E11" s="1895" t="s">
        <v>793</v>
      </c>
      <c r="F11" s="2125"/>
      <c r="G11" s="2125"/>
      <c r="H11" s="2125"/>
      <c r="I11" s="2249"/>
    </row>
    <row r="12" spans="1:12" ht="13.2">
      <c r="A12" s="3331" t="s">
        <v>794</v>
      </c>
      <c r="B12" s="3369">
        <v>15</v>
      </c>
      <c r="C12" s="3301"/>
      <c r="D12" s="3300"/>
      <c r="E12" s="1895" t="s">
        <v>795</v>
      </c>
      <c r="F12" s="2125"/>
      <c r="G12" s="2125"/>
      <c r="H12" s="2125"/>
      <c r="I12" s="2249"/>
    </row>
    <row r="13" spans="1:12" ht="13.2">
      <c r="A13" s="3331"/>
      <c r="B13" s="3369"/>
      <c r="C13" s="3303"/>
      <c r="D13" s="3300"/>
      <c r="E13" s="1895" t="s">
        <v>796</v>
      </c>
      <c r="F13" s="2125"/>
      <c r="G13" s="2125"/>
      <c r="H13" s="2125"/>
      <c r="I13" s="2249"/>
    </row>
    <row r="14" spans="1:12" ht="13.2">
      <c r="A14" s="3331" t="s">
        <v>797</v>
      </c>
      <c r="B14" s="3369">
        <v>30</v>
      </c>
      <c r="C14" s="3301">
        <v>7</v>
      </c>
      <c r="D14" s="3300">
        <v>3</v>
      </c>
      <c r="E14" s="1895" t="s">
        <v>798</v>
      </c>
      <c r="F14" s="2125"/>
      <c r="G14" s="2125"/>
      <c r="H14" s="2125"/>
      <c r="I14" s="2249"/>
    </row>
    <row r="15" spans="1:12" ht="13.2">
      <c r="A15" s="3331"/>
      <c r="B15" s="3369"/>
      <c r="C15" s="3302"/>
      <c r="D15" s="3300"/>
      <c r="E15" s="1895" t="s">
        <v>799</v>
      </c>
      <c r="F15" s="2125"/>
      <c r="G15" s="2125"/>
      <c r="H15" s="2125"/>
      <c r="I15" s="2249"/>
    </row>
    <row r="16" spans="1:12" ht="13.2">
      <c r="A16" s="3331"/>
      <c r="B16" s="3369"/>
      <c r="C16" s="3303"/>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c r="A18" s="2129" t="s">
        <v>804</v>
      </c>
      <c r="B18" s="2130"/>
      <c r="C18" s="2131">
        <f>ROUND(C17/SUM(C17:D17),2)</f>
        <v>0.7</v>
      </c>
      <c r="D18" s="2131">
        <f>1-C18</f>
        <v>0.30000000000000004</v>
      </c>
      <c r="E18" s="3289" t="s">
        <v>805</v>
      </c>
      <c r="F18" s="3290"/>
      <c r="G18" s="3290"/>
      <c r="H18" s="3290"/>
      <c r="I18" s="3290"/>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806</v>
      </c>
      <c r="B19" s="2132" t="s">
        <v>807</v>
      </c>
      <c r="C19" s="2133">
        <f ca="1">SUMIF(INDIRECT("'"&amp;C4&amp;"'"&amp;"!A:A"),结果表110!B19,INDIRECT("'"&amp;C4&amp;"'"&amp;"!B:B"))</f>
        <v>1123.664</v>
      </c>
      <c r="D19" s="1245">
        <f ca="1">SUMIF(INDIRECT("'"&amp;D4&amp;"'"&amp;"!A:A"),结果表110!B19,INDIRECT("'"&amp;D4&amp;"'"&amp;"!B:B"))</f>
        <v>897.79499999999996</v>
      </c>
      <c r="E19" s="1129" t="s">
        <v>808</v>
      </c>
      <c r="F19" s="2132" t="s">
        <v>807</v>
      </c>
      <c r="G19" s="2134">
        <f ca="1">ROUND(C19*$C$18+D19*$D$18,0)</f>
        <v>1056</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SUMIF(INDIRECT("'"&amp;C4&amp;"'"&amp;"!A:A"),结果表110!B20,INDIRECT("'"&amp;C4&amp;"'"&amp;"!B:B"))</f>
        <v>31624</v>
      </c>
      <c r="D20" s="1602">
        <f ca="1">SUMIF(INDIRECT("'"&amp;D4&amp;"'"&amp;"!A:A"),结果表110!B20,INDIRECT("'"&amp;D4&amp;"'"&amp;"!B:B"))</f>
        <v>25267</v>
      </c>
      <c r="E20" s="2136"/>
      <c r="F20" s="2137" t="s">
        <v>810</v>
      </c>
      <c r="G20" s="2138">
        <f ca="1">ROUND(C20*$C$18+D20*$D$18,0)</f>
        <v>29717</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0.25158193128720918</v>
      </c>
      <c r="E22" s="1458"/>
      <c r="F22" s="1458"/>
      <c r="G22" s="1458"/>
      <c r="H22" s="1458"/>
      <c r="I22" s="1458"/>
    </row>
    <row r="23" spans="1:36" ht="13.2">
      <c r="A23" s="1998"/>
      <c r="B23" s="1998"/>
      <c r="C23" s="1998"/>
      <c r="D23" s="1998"/>
      <c r="E23" s="1458"/>
      <c r="F23" s="1458"/>
      <c r="G23" s="1458"/>
      <c r="H23" s="1458"/>
      <c r="I23" s="1458"/>
    </row>
    <row r="24" spans="1:36" ht="14.4">
      <c r="A24" s="3362" t="s">
        <v>814</v>
      </c>
      <c r="B24" s="2132" t="s">
        <v>807</v>
      </c>
      <c r="C24" s="2134">
        <f>IF(B30=0,0,D30)</f>
        <v>0</v>
      </c>
      <c r="D24" s="2148"/>
      <c r="E24" s="1458"/>
      <c r="F24" s="1458"/>
      <c r="G24" s="1458"/>
      <c r="H24" s="1458"/>
      <c r="I24" s="1458"/>
    </row>
    <row r="25" spans="1:36" ht="14.4">
      <c r="A25" s="3363"/>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29717</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22704</v>
      </c>
      <c r="D34" s="2169">
        <f ca="1">IF(C33="自定义",ROUND(C34/C32,3),IF(C33="收益比率",SUMIF(INDIRECT("'"&amp;D33&amp;"'"&amp;"!b:b"),"土地收益比率",INDIRECT("'"&amp;D33&amp;"'"&amp;"!c:c")),SUMIF(INDIRECT("'"&amp;D33&amp;"'"&amp;"!b:b"),"土地成本比率",INDIRECT("'"&amp;D33&amp;"'"&amp;"!c:c"))))</f>
        <v>0.76400000000000001</v>
      </c>
      <c r="E34" s="2170" t="s">
        <v>827</v>
      </c>
      <c r="F34" s="2171"/>
      <c r="G34" s="1458"/>
      <c r="H34" s="1458"/>
      <c r="I34" s="1458"/>
    </row>
    <row r="35" spans="1:15" ht="14.4">
      <c r="A35" s="2172"/>
      <c r="B35" s="2173" t="s">
        <v>828</v>
      </c>
      <c r="C35" s="2174">
        <f ca="1">IF(C33="自定义",F35,ROUND(C32*D35,0))</f>
        <v>7013</v>
      </c>
      <c r="D35" s="2175">
        <f ca="1">IF(C33="自定义",ROUND(C35/C32,3),IF(C33="收益比率",SUMIF(INDIRECT("'"&amp;D33&amp;"'"&amp;"!b:b"),"建筑物收益比率",INDIRECT("'"&amp;D33&amp;"'"&amp;"!c:c")),SUMIF(INDIRECT("'"&amp;D33&amp;"'"&amp;"!b:b"),"建筑物成本比率",INDIRECT("'"&amp;D33&amp;"'"&amp;"!c:c"))))</f>
        <v>0.23599999999999999</v>
      </c>
      <c r="E35" s="2176" t="s">
        <v>829</v>
      </c>
      <c r="F35" s="2177"/>
      <c r="G35" s="1458"/>
      <c r="H35" s="1458"/>
      <c r="I35" s="1458"/>
    </row>
    <row r="36" spans="1:15" ht="14.4">
      <c r="A36" s="3364" t="s">
        <v>830</v>
      </c>
      <c r="B36" s="2178" t="s">
        <v>831</v>
      </c>
      <c r="C36" s="2179"/>
      <c r="D36" s="2180"/>
      <c r="E36" s="2181"/>
      <c r="F36" s="2182"/>
      <c r="G36" s="1458"/>
      <c r="H36" s="1458"/>
      <c r="I36" s="1458"/>
    </row>
    <row r="37" spans="1:15" ht="14.4">
      <c r="A37" s="3365"/>
      <c r="B37" s="2183" t="s">
        <v>832</v>
      </c>
      <c r="C37" s="2184"/>
      <c r="D37" s="2185"/>
      <c r="E37" s="2185"/>
      <c r="F37" s="2182"/>
      <c r="G37" s="1458"/>
      <c r="H37" s="1458"/>
      <c r="I37" s="1458"/>
    </row>
    <row r="38" spans="1:15" ht="14.4">
      <c r="A38" s="3366"/>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291" t="s">
        <v>841</v>
      </c>
      <c r="B45" s="3292"/>
      <c r="C45" s="3293"/>
      <c r="D45" s="2204">
        <f ca="1">ROUND(H101*F45,4)</f>
        <v>1056</v>
      </c>
      <c r="E45" s="2205" t="s">
        <v>842</v>
      </c>
      <c r="F45" s="2206">
        <v>1</v>
      </c>
      <c r="G45" s="1865" t="s">
        <v>843</v>
      </c>
      <c r="H45" s="1458"/>
      <c r="I45" s="1458"/>
      <c r="J45" s="3294" t="s">
        <v>844</v>
      </c>
      <c r="K45" s="3294"/>
      <c r="L45" s="3294"/>
      <c r="M45" s="3294"/>
      <c r="N45" s="3294"/>
      <c r="O45" s="3294"/>
    </row>
    <row r="46" spans="1:15" ht="14.25" customHeight="1">
      <c r="A46" s="3295" t="s">
        <v>845</v>
      </c>
      <c r="B46" s="3296"/>
      <c r="C46" s="3296"/>
      <c r="D46" s="3296"/>
      <c r="E46" s="3296"/>
      <c r="F46" s="3296"/>
      <c r="G46" s="3297"/>
      <c r="H46" s="2207"/>
      <c r="I46" s="1459"/>
      <c r="J46" s="576">
        <v>1</v>
      </c>
      <c r="K46" s="3298" t="s">
        <v>846</v>
      </c>
      <c r="L46" s="3298"/>
      <c r="M46" s="3299"/>
      <c r="N46" s="3299"/>
      <c r="O46" s="3299"/>
    </row>
    <row r="47" spans="1:15" ht="12" customHeight="1">
      <c r="A47" s="2208" t="s">
        <v>847</v>
      </c>
      <c r="B47" s="2209"/>
      <c r="C47" s="2210"/>
      <c r="D47" s="1904" t="s">
        <v>848</v>
      </c>
      <c r="E47" s="1855" t="s">
        <v>849</v>
      </c>
      <c r="F47" s="2211" t="s">
        <v>850</v>
      </c>
      <c r="G47" s="2212" t="s">
        <v>851</v>
      </c>
      <c r="H47" s="2213"/>
      <c r="I47" s="1459"/>
      <c r="J47" s="576">
        <v>2</v>
      </c>
      <c r="K47" s="3298" t="s">
        <v>852</v>
      </c>
      <c r="L47" s="3298"/>
      <c r="M47" s="3304">
        <f>'数据-取费表'!B2</f>
        <v>45839</v>
      </c>
      <c r="N47" s="3304"/>
      <c r="O47" s="3304"/>
    </row>
    <row r="48" spans="1:15" ht="39.6">
      <c r="A48" s="3305" t="s">
        <v>853</v>
      </c>
      <c r="B48" s="3306"/>
      <c r="C48" s="3306"/>
      <c r="D48" s="2005">
        <f ca="1">IF(H48="情况1",0,IF(H48="情况2",D52,IF(H48="情况3",D53,IF(H48="情况4",D54))))</f>
        <v>55.314300000000003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298" t="s">
        <v>856</v>
      </c>
      <c r="L48" s="3298"/>
      <c r="M48" s="3307">
        <f ca="1">H101</f>
        <v>1056</v>
      </c>
      <c r="N48" s="3307"/>
      <c r="O48" s="3307"/>
    </row>
    <row r="49" spans="1:35" ht="25.5" customHeight="1">
      <c r="A49" s="2214" t="s">
        <v>857</v>
      </c>
      <c r="B49" s="3308" t="s">
        <v>858</v>
      </c>
      <c r="C49" s="3308"/>
      <c r="D49" s="2218">
        <v>0</v>
      </c>
      <c r="E49" s="1914" t="s">
        <v>859</v>
      </c>
      <c r="F49" s="2219" t="s">
        <v>124</v>
      </c>
      <c r="G49" s="3314"/>
      <c r="H49" s="2220" t="s">
        <v>860</v>
      </c>
      <c r="I49" s="2255"/>
      <c r="J49" s="576">
        <v>4</v>
      </c>
      <c r="K49" s="3298" t="str">
        <f>IF(项目基本情况!E8="房地产抵押价值","房地产抵押价值","抵押担保权已注销时的房地产抵押价值")</f>
        <v>房地产抵押价值</v>
      </c>
      <c r="L49" s="3298"/>
      <c r="M49" s="3307">
        <f ca="1">IF(项目基本情况!E8="房地产抵押价值",H107,H109)</f>
        <v>1056</v>
      </c>
      <c r="N49" s="3307"/>
      <c r="O49" s="3307"/>
    </row>
    <row r="50" spans="1:35" ht="25.5" customHeight="1">
      <c r="A50" s="2221"/>
      <c r="B50" s="3308" t="s">
        <v>861</v>
      </c>
      <c r="C50" s="3308"/>
      <c r="D50" s="2222"/>
      <c r="E50" s="1929"/>
      <c r="F50" s="2219"/>
      <c r="G50" s="3315"/>
      <c r="H50" s="2223" t="s">
        <v>862</v>
      </c>
      <c r="I50" s="2255"/>
      <c r="J50" s="3294" t="s">
        <v>863</v>
      </c>
      <c r="K50" s="3294"/>
      <c r="L50" s="3294"/>
      <c r="M50" s="3294"/>
      <c r="N50" s="3294"/>
      <c r="O50" s="3294"/>
    </row>
    <row r="51" spans="1:35" ht="20.399999999999999" customHeight="1">
      <c r="A51" s="2224"/>
      <c r="B51" s="3308" t="s">
        <v>864</v>
      </c>
      <c r="C51" s="3308"/>
      <c r="D51" s="1904"/>
      <c r="E51" s="1918"/>
      <c r="F51" s="2219"/>
      <c r="G51" s="3316"/>
      <c r="H51" s="2223" t="s">
        <v>865</v>
      </c>
      <c r="I51" s="2255"/>
      <c r="J51" s="2254" t="s">
        <v>866</v>
      </c>
      <c r="K51" s="3298" t="s">
        <v>867</v>
      </c>
      <c r="L51" s="3298"/>
      <c r="M51" s="2254" t="s">
        <v>868</v>
      </c>
      <c r="N51" s="2254" t="s">
        <v>869</v>
      </c>
      <c r="O51" s="2254" t="s">
        <v>870</v>
      </c>
    </row>
    <row r="52" spans="1:35" ht="24" customHeight="1">
      <c r="A52" s="2225" t="s">
        <v>871</v>
      </c>
      <c r="B52" s="3308" t="s">
        <v>872</v>
      </c>
      <c r="C52" s="3308"/>
      <c r="D52" s="1904">
        <f ca="1">ROUND(D45*'数据-取费表'!B41/(1+'数据-取费表'!C42),0)</f>
        <v>55</v>
      </c>
      <c r="E52" s="1908" t="s">
        <v>873</v>
      </c>
      <c r="F52" s="2226">
        <f>'数据-取费表'!B41</f>
        <v>5.5000000000000007E-2</v>
      </c>
      <c r="G52" s="2227"/>
      <c r="H52" s="2019"/>
      <c r="I52" s="2256"/>
      <c r="J52" s="576">
        <v>1</v>
      </c>
      <c r="K52" s="3310" t="s">
        <v>874</v>
      </c>
      <c r="L52" s="3310"/>
      <c r="M52" s="2257">
        <f ca="1">D48</f>
        <v>55.314300000000003</v>
      </c>
      <c r="N52" s="576" t="str">
        <f>E48</f>
        <v>(销售额-原购置价)×税（费）率</v>
      </c>
      <c r="O52" s="2258">
        <f>F48</f>
        <v>5.5000000000000007E-2</v>
      </c>
    </row>
    <row r="53" spans="1:35" ht="12" customHeight="1">
      <c r="A53" s="2225" t="s">
        <v>875</v>
      </c>
      <c r="B53" s="3311" t="s">
        <v>876</v>
      </c>
      <c r="C53" s="3312"/>
      <c r="D53" s="1904">
        <f ca="1">ROUND(D45*'数据-取费表'!B41/(1+'数据-取费表'!C42),0)</f>
        <v>55</v>
      </c>
      <c r="E53" s="1908" t="s">
        <v>873</v>
      </c>
      <c r="F53" s="2226">
        <f>'数据-取费表'!B41</f>
        <v>5.5000000000000007E-2</v>
      </c>
      <c r="G53" s="2227"/>
      <c r="H53" s="2019"/>
      <c r="I53" s="2256"/>
      <c r="J53" s="576">
        <v>2</v>
      </c>
      <c r="K53" s="3310" t="s">
        <v>877</v>
      </c>
      <c r="L53" s="3310"/>
      <c r="M53" s="2257">
        <f t="shared" ref="M53:O54" ca="1" si="0">D55</f>
        <v>0.52800000000000002</v>
      </c>
      <c r="N53" s="576" t="str">
        <f t="shared" si="0"/>
        <v>销售额×税（费）率</v>
      </c>
      <c r="O53" s="2258">
        <f t="shared" si="0"/>
        <v>5.0000000000000001E-4</v>
      </c>
    </row>
    <row r="54" spans="1:35" ht="12" customHeight="1">
      <c r="A54" s="2225" t="s">
        <v>878</v>
      </c>
      <c r="B54" s="3311" t="s">
        <v>879</v>
      </c>
      <c r="C54" s="3312"/>
      <c r="D54" s="1904">
        <f ca="1">C68</f>
        <v>55.314300000000003</v>
      </c>
      <c r="E54" s="1918" t="s">
        <v>880</v>
      </c>
      <c r="F54" s="2226">
        <f>'数据-取费表'!B41</f>
        <v>5.5000000000000007E-2</v>
      </c>
      <c r="G54" s="2227"/>
      <c r="H54" s="2228"/>
      <c r="I54" s="2256"/>
      <c r="J54" s="576">
        <v>3</v>
      </c>
      <c r="K54" s="3310" t="s">
        <v>881</v>
      </c>
      <c r="L54" s="3310"/>
      <c r="M54" s="2257">
        <f t="shared" ca="1" si="0"/>
        <v>598.65139999999997</v>
      </c>
      <c r="N54" s="576" t="str">
        <f t="shared" si="0"/>
        <v>增值额×税（费）率</v>
      </c>
      <c r="O54" s="2259" t="str">
        <f t="shared" si="0"/>
        <v>——</v>
      </c>
    </row>
    <row r="55" spans="1:35" ht="24" customHeight="1">
      <c r="A55" s="3313" t="s">
        <v>882</v>
      </c>
      <c r="B55" s="3306"/>
      <c r="C55" s="3306"/>
      <c r="D55" s="2229">
        <f ca="1">IF(H55="个人住宅",0,ROUND(D45*I55,4))</f>
        <v>0.52800000000000002</v>
      </c>
      <c r="E55" s="1908" t="s">
        <v>883</v>
      </c>
      <c r="F55" s="2226">
        <f>IF(H55="正常",I55,"免征")</f>
        <v>5.0000000000000001E-4</v>
      </c>
      <c r="G55" s="2227"/>
      <c r="H55" s="2217" t="s">
        <v>884</v>
      </c>
      <c r="I55" s="2260">
        <f>'数据-取费表'!B49</f>
        <v>5.0000000000000001E-4</v>
      </c>
      <c r="J55" s="576">
        <f>IF(H59="非个人房产","",4)</f>
        <v>4</v>
      </c>
      <c r="K55" s="3310" t="str">
        <f>IF(H59="非个人房产","——","个人所得税")</f>
        <v>个人所得税</v>
      </c>
      <c r="L55" s="3310"/>
      <c r="M55" s="2261">
        <f ca="1">D59</f>
        <v>10.56</v>
      </c>
      <c r="N55" s="557" t="str">
        <f>E59</f>
        <v>销售额×税（费）率</v>
      </c>
      <c r="O55" s="2262">
        <f>F59</f>
        <v>0.01</v>
      </c>
    </row>
    <row r="56" spans="1:35" ht="25.2">
      <c r="A56" s="3313" t="s">
        <v>885</v>
      </c>
      <c r="B56" s="3306"/>
      <c r="C56" s="3306"/>
      <c r="D56" s="2005">
        <f ca="1">IF(H56="个人住宅",D57,D58)</f>
        <v>598.65139999999997</v>
      </c>
      <c r="E56" s="1908" t="s">
        <v>886</v>
      </c>
      <c r="F56" s="2226" t="str">
        <f>IF(H56="正常",F58,"免征")</f>
        <v>——</v>
      </c>
      <c r="G56" s="2230" t="s">
        <v>887</v>
      </c>
      <c r="H56" s="2231" t="s">
        <v>884</v>
      </c>
      <c r="I56" s="2239"/>
      <c r="J56" s="576" t="str">
        <f>IF(项目基本情况!K6="上海银行",IF(J55="",4,J55+1),"")</f>
        <v/>
      </c>
      <c r="K56" s="3317" t="str">
        <f>IF(项目基本情况!K6="上海银行","其他处置费用","")</f>
        <v/>
      </c>
      <c r="L56" s="3318"/>
      <c r="M56" s="2257" t="str">
        <f>IF(项目基本情况!K6="上海银行",M69,"")</f>
        <v/>
      </c>
      <c r="N56" s="3317" t="str">
        <f>IF(项目基本情况!K6="上海银行","包含处置中涉及的律师、诉讼、拍卖、评估等费用","")</f>
        <v/>
      </c>
      <c r="O56" s="3319"/>
    </row>
    <row r="57" spans="1:35" ht="13.2">
      <c r="A57" s="2225" t="s">
        <v>857</v>
      </c>
      <c r="B57" s="3311" t="s">
        <v>888</v>
      </c>
      <c r="C57" s="3312"/>
      <c r="D57" s="2218">
        <v>0</v>
      </c>
      <c r="E57" s="1914" t="s">
        <v>859</v>
      </c>
      <c r="F57" s="1855"/>
      <c r="G57" s="2227"/>
      <c r="H57" s="2232"/>
      <c r="I57" s="2239"/>
      <c r="J57" s="3310">
        <f>IF(AND(J55="",J56=""),4,IF(项目基本情况!K6="上海银行",结果表110!J56+1,结果表110!J55+1))</f>
        <v>5</v>
      </c>
      <c r="K57" s="3310" t="s">
        <v>889</v>
      </c>
      <c r="L57" s="2264" t="s">
        <v>890</v>
      </c>
      <c r="M57" s="2265"/>
      <c r="N57" s="2266">
        <f ca="1">SUMIF(M52:M56,"&lt;9e307")</f>
        <v>665.05369999999994</v>
      </c>
      <c r="O57" s="2267"/>
      <c r="P57" s="2268">
        <f ca="1">N57/M49</f>
        <v>0.62978570075757567</v>
      </c>
    </row>
    <row r="58" spans="1:35" ht="25.2">
      <c r="A58" s="2225" t="s">
        <v>871</v>
      </c>
      <c r="B58" s="3311" t="s">
        <v>891</v>
      </c>
      <c r="C58" s="3308"/>
      <c r="D58" s="2005">
        <f ca="1">IF(H58="转让取得",C81,C97)</f>
        <v>598.65139999999997</v>
      </c>
      <c r="E58" s="1908" t="s">
        <v>886</v>
      </c>
      <c r="F58" s="1855" t="s">
        <v>124</v>
      </c>
      <c r="G58" s="2227"/>
      <c r="H58" s="2231" t="s">
        <v>892</v>
      </c>
      <c r="I58" s="2239"/>
      <c r="J58" s="3310"/>
      <c r="K58" s="3310"/>
      <c r="L58" s="2264" t="s">
        <v>893</v>
      </c>
      <c r="M58" s="2269"/>
      <c r="N58" s="2270" t="str">
        <f ca="1">NUMBERSTRING(INT(N57*10000),2)&amp;"元整"</f>
        <v>陆佰陆拾伍万零伍佰叁拾柒元整</v>
      </c>
      <c r="O58" s="2271"/>
    </row>
    <row r="59" spans="1:35" ht="26.4">
      <c r="A59" s="3320" t="s">
        <v>894</v>
      </c>
      <c r="B59" s="3321"/>
      <c r="C59" s="3321"/>
      <c r="D59" s="3177">
        <f ca="1">IF(H59="非个人房产","——",IF(H59="个人住宅（满五唯一有凭证）",0,IF(H59="个人其他（无凭证）",ROUND(D45*F59,4),ROUND(C67*F59,4))))</f>
        <v>10.56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25">
        <f>J57+1</f>
        <v>6</v>
      </c>
      <c r="K59" s="3310" t="s">
        <v>896</v>
      </c>
      <c r="L59" s="576" t="s">
        <v>890</v>
      </c>
      <c r="M59" s="2273"/>
      <c r="N59" s="2274">
        <f ca="1">M49-N57</f>
        <v>390.94630000000006</v>
      </c>
      <c r="O59" s="2275"/>
    </row>
    <row r="60" spans="1:35" ht="12" customHeight="1">
      <c r="A60" s="2237"/>
      <c r="B60" s="1998"/>
      <c r="C60" s="1998"/>
      <c r="D60" s="1998"/>
      <c r="E60" s="2238"/>
      <c r="F60" s="2239"/>
      <c r="G60" s="2239"/>
      <c r="H60" s="1459"/>
      <c r="I60" s="1458"/>
      <c r="J60" s="3326"/>
      <c r="K60" s="3310"/>
      <c r="L60" s="2264" t="s">
        <v>893</v>
      </c>
      <c r="M60" s="2269"/>
      <c r="N60" s="2270" t="str">
        <f ca="1">NUMBERSTRING(INT(N59*10000),2)&amp;"元整"</f>
        <v>叁佰玖拾万玖仟肆佰陆拾叁元整</v>
      </c>
      <c r="O60" s="2271"/>
    </row>
    <row r="61" spans="1:35" ht="13.2">
      <c r="A61" s="3322" t="s">
        <v>897</v>
      </c>
      <c r="B61" s="3322"/>
      <c r="C61" s="3322"/>
      <c r="D61" s="3322"/>
      <c r="E61" s="3322"/>
      <c r="F61" s="2239"/>
      <c r="G61" s="2239"/>
      <c r="H61" s="1459"/>
      <c r="I61" s="1458"/>
      <c r="J61" s="576">
        <f>J59+1</f>
        <v>7</v>
      </c>
      <c r="K61" s="3310" t="s">
        <v>898</v>
      </c>
      <c r="L61" s="3310"/>
      <c r="M61" s="2276"/>
      <c r="N61" s="2488">
        <f ca="1">ROUND(N59*10000/'数据-汇总表'!E3,0)</f>
        <v>4414</v>
      </c>
      <c r="O61" s="2277"/>
    </row>
    <row r="62" spans="1:35" ht="13.2">
      <c r="A62" s="3323" t="s">
        <v>899</v>
      </c>
      <c r="B62" s="3324"/>
      <c r="C62" s="528"/>
      <c r="D62" s="528" t="s">
        <v>900</v>
      </c>
      <c r="E62" s="2240" t="s">
        <v>851</v>
      </c>
      <c r="F62" s="2239"/>
      <c r="G62" s="2239"/>
      <c r="H62" s="1459"/>
      <c r="I62" s="1458"/>
    </row>
    <row r="63" spans="1:35" ht="13.2">
      <c r="A63" s="2241" t="s">
        <v>901</v>
      </c>
      <c r="B63" s="586" t="s">
        <v>902</v>
      </c>
      <c r="C63" s="2242">
        <f ca="1">ROUND((C64+C65)/(1+'数据-取费表'!C42),4)</f>
        <v>1005.7143</v>
      </c>
      <c r="D63" s="586"/>
      <c r="E63" s="2243"/>
      <c r="F63" s="2239"/>
      <c r="G63" s="2239"/>
      <c r="H63" s="1459"/>
      <c r="I63" s="1458"/>
      <c r="J63" s="3309" t="s">
        <v>903</v>
      </c>
      <c r="K63" s="2278" t="s">
        <v>904</v>
      </c>
      <c r="L63" s="2278">
        <f ca="1">IF(M49&gt;10000,M49*0.5%,IF(AND(M49&gt;1000,M49&lt;=10000),M49*1%,IF(AND(M49&gt;100,M49&lt;=1000),M49*3%,IF(AND(M49&gt;10,M49&lt;=100),M49*5%,M49*8%))))</f>
        <v>10.56</v>
      </c>
      <c r="M63" s="1855">
        <f ca="1">ROUND(L63,1)</f>
        <v>10.6</v>
      </c>
      <c r="N63" s="2279"/>
      <c r="Z63" s="2113"/>
      <c r="AI63" s="2114"/>
    </row>
    <row r="64" spans="1:35" ht="14.25" customHeight="1">
      <c r="A64" s="2244" t="s">
        <v>905</v>
      </c>
      <c r="B64" s="509" t="s">
        <v>906</v>
      </c>
      <c r="C64" s="2245">
        <f ca="1">D45</f>
        <v>1056</v>
      </c>
      <c r="D64" s="509" t="s">
        <v>124</v>
      </c>
      <c r="E64" s="2246"/>
      <c r="F64" s="2239"/>
      <c r="G64" s="2239"/>
      <c r="H64" s="1459"/>
      <c r="I64" s="1458"/>
      <c r="J64" s="3309"/>
      <c r="K64" s="2278" t="s">
        <v>907</v>
      </c>
      <c r="L64" s="2278">
        <f ca="1">IF(M49&gt;2000,M49*0.5%,IF(AND(M49&gt;1000,M49&lt;=2000),M49*0.6%,IF(AND(M49&gt;500,M49&lt;=1000),M49*0.7%,IF(AND(M49&gt;200,M49&lt;=500),M49*0.8%,IF(AND(M49&gt;100,M49&lt;=200),M49*0.9%,IF(AND(M49&gt;50,M49&lt;=100),M49*1%,IF(AND(M49&gt;20,M49&lt;=50),M49*1.5%,IF(AND(M49&gt;10,M49&lt;=20),M49*2%,IF(AND(M49&gt;1,M49&lt;=10),M49*2.5%)))))))))</f>
        <v>6.3360000000000003</v>
      </c>
      <c r="M64" s="1855">
        <f t="shared" ref="M64:M65" ca="1" si="1">ROUND(L64,1)</f>
        <v>6.3</v>
      </c>
      <c r="N64" s="2019" t="s">
        <v>908</v>
      </c>
      <c r="Z64" s="2113"/>
      <c r="AI64" s="2114"/>
    </row>
    <row r="65" spans="1:35" ht="14.25" customHeight="1">
      <c r="A65" s="2244" t="s">
        <v>909</v>
      </c>
      <c r="B65" s="509" t="s">
        <v>910</v>
      </c>
      <c r="C65" s="2281"/>
      <c r="D65" s="509"/>
      <c r="E65" s="2246"/>
      <c r="F65" s="2239"/>
      <c r="G65" s="2239"/>
      <c r="H65" s="1459"/>
      <c r="I65" s="1458"/>
      <c r="J65" s="3309"/>
      <c r="K65" s="2278" t="s">
        <v>911</v>
      </c>
      <c r="L65" s="2278">
        <f ca="1">IF(M49&gt;1000,M49*0.1%,IF(AND(M49&gt;500,M49&lt;=1000),M49*0.5%,IF(AND(M49&gt;50,M49&lt;=500),M49*1%,IF(AND(M49&gt;1,M49&lt;=50),M49*1.5%))))</f>
        <v>1.056</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09"/>
      <c r="K66" s="2278" t="s">
        <v>915</v>
      </c>
      <c r="L66" s="2278">
        <f ca="1">M49*0.5%</f>
        <v>5.28</v>
      </c>
      <c r="M66" s="1855">
        <f ca="1">IF(L66&gt;0.5,0.5,ROUND(L66,0))</f>
        <v>0.5</v>
      </c>
      <c r="N66" s="2019" t="s">
        <v>916</v>
      </c>
      <c r="Z66" s="2113"/>
      <c r="AI66" s="2114"/>
    </row>
    <row r="67" spans="1:35" ht="14.25" customHeight="1">
      <c r="A67" s="2241" t="s">
        <v>917</v>
      </c>
      <c r="B67" s="2282" t="s">
        <v>918</v>
      </c>
      <c r="C67" s="2285">
        <f ca="1">C63-C66</f>
        <v>1005.7143</v>
      </c>
      <c r="D67" s="509" t="s">
        <v>124</v>
      </c>
      <c r="E67" s="2246"/>
      <c r="F67" s="2239"/>
      <c r="G67" s="2239"/>
      <c r="H67" s="1459"/>
      <c r="I67" s="1458"/>
      <c r="J67" s="3309"/>
      <c r="K67" s="2278" t="s">
        <v>919</v>
      </c>
      <c r="L67" s="2278">
        <f ca="1">IF(M49&gt;=10000,(8.25+(M49-10000)*0.01%),IF(AND(M49&gt;=8000,M49&lt;10000),(7.85+(M49-8000)*0.02%),IF(AND(M49&gt;=5000,M49&lt;8000),(6.65+(M49-5000)*0.04%),IF(AND(M49&gt;=2000,M49&lt;5000),(4.25+(PM49-2000)*0.08%),IF(AND(M49&gt;=1000,M49&lt;2000),(2.75+(M49-1000)*0.15%),IF(AND(M49&gt;=100,M49&lt;1000),(0.5+(M49-100)*0.25%),IF(AND(M49&gt;0,M49&lt;100),M49*0.5%)))))))</f>
        <v>2.8340000000000001</v>
      </c>
      <c r="M67" s="1855">
        <f ca="1">ROUND(L67*0.9,1)</f>
        <v>2.6</v>
      </c>
      <c r="N67" s="2279"/>
      <c r="Z67" s="2113"/>
      <c r="AI67" s="2114"/>
    </row>
    <row r="68" spans="1:35" ht="14.25" customHeight="1">
      <c r="A68" s="2286" t="s">
        <v>920</v>
      </c>
      <c r="B68" s="2287" t="s">
        <v>921</v>
      </c>
      <c r="C68" s="2288">
        <f ca="1">IF(C67&lt;=0,0,ROUND(C67*D68,4))</f>
        <v>55.314300000000003</v>
      </c>
      <c r="D68" s="771">
        <f>'数据-取费表'!B41</f>
        <v>5.5000000000000007E-2</v>
      </c>
      <c r="E68" s="2289"/>
      <c r="F68" s="2239"/>
      <c r="G68" s="2239"/>
      <c r="H68" s="1459"/>
      <c r="I68" s="1458"/>
      <c r="J68" s="3309"/>
      <c r="K68" s="2278" t="s">
        <v>922</v>
      </c>
      <c r="L68" s="2278">
        <f ca="1">IF(M49&gt;10000,M49*0.5%,IF(AND(M49&gt;5000,M49&lt;=10000),M49*1%,IF(AND(M49&gt;1000,M49&lt;=5000),M49*2%,IF(AND(M49&gt;200,M49&lt;=1000),M49*3%,M49*5%))))</f>
        <v>21.12</v>
      </c>
      <c r="M68" s="1855">
        <f ca="1">ROUND(L68,1)</f>
        <v>21.1</v>
      </c>
      <c r="N68" s="2279"/>
      <c r="Z68" s="2113"/>
      <c r="AI68" s="2114"/>
    </row>
    <row r="69" spans="1:35" ht="16.5" customHeight="1">
      <c r="A69" s="2290"/>
      <c r="B69" s="2291"/>
      <c r="C69" s="2292"/>
      <c r="D69" s="693"/>
      <c r="E69" s="2293"/>
      <c r="F69" s="2238"/>
      <c r="G69" s="2238"/>
      <c r="H69" s="2198"/>
      <c r="I69" s="1998"/>
      <c r="J69" s="3309"/>
      <c r="K69" s="2278" t="s">
        <v>923</v>
      </c>
      <c r="L69" s="2278"/>
      <c r="M69" s="1855">
        <f ca="1">ROUND(SUM(M63:M68),0)</f>
        <v>42</v>
      </c>
      <c r="N69" s="2358">
        <f ca="1">M69/M49</f>
        <v>3.9772727272727272E-2</v>
      </c>
      <c r="Z69" s="2113"/>
      <c r="AI69" s="2114"/>
    </row>
    <row r="70" spans="1:35" s="886" customFormat="1" ht="13.8">
      <c r="A70" s="3347" t="s">
        <v>924</v>
      </c>
      <c r="B70" s="3348"/>
      <c r="C70" s="3348"/>
      <c r="D70" s="3348"/>
      <c r="E70" s="3348"/>
      <c r="F70" s="3348"/>
      <c r="G70" s="3348"/>
      <c r="H70" s="3348"/>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3" t="s">
        <v>899</v>
      </c>
      <c r="B71" s="3324"/>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1005.7143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5.0286</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1" t="s">
        <v>935</v>
      </c>
      <c r="F76" s="3308"/>
      <c r="G76" s="3308"/>
      <c r="H76" s="3349"/>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5.0286</v>
      </c>
      <c r="D78" s="2310">
        <f>'数据-取费表'!B43</f>
        <v>5.000000000000001E-3</v>
      </c>
      <c r="E78" s="3350" t="s">
        <v>941</v>
      </c>
      <c r="F78" s="3351"/>
      <c r="G78" s="3351"/>
      <c r="H78" s="3352"/>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1000.6857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198.99886648371316</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598.65139999999997</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47" t="s">
        <v>946</v>
      </c>
      <c r="B83" s="3348"/>
      <c r="C83" s="3348"/>
      <c r="D83" s="3348"/>
      <c r="E83" s="3348"/>
      <c r="F83" s="3348"/>
      <c r="G83" s="3348"/>
      <c r="H83" s="3348"/>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3" t="s">
        <v>899</v>
      </c>
      <c r="B84" s="3324"/>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1006</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59" t="s">
        <v>954</v>
      </c>
      <c r="H90" s="3360"/>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0" t="s">
        <v>958</v>
      </c>
      <c r="F91" s="3351"/>
      <c r="G91" s="3351"/>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0" t="s">
        <v>961</v>
      </c>
      <c r="F92" s="3351"/>
      <c r="G92" s="3351"/>
      <c r="H92" s="3352"/>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50" t="s">
        <v>941</v>
      </c>
      <c r="F93" s="3351"/>
      <c r="G93" s="3351"/>
      <c r="H93" s="3352"/>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2" t="s">
        <v>966</v>
      </c>
      <c r="F94" s="3373"/>
      <c r="G94" s="3373"/>
      <c r="H94" s="3374"/>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1001</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200.2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599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73" t="s">
        <v>968</v>
      </c>
      <c r="B100" s="3274"/>
      <c r="C100" s="3274"/>
      <c r="D100" s="3335"/>
      <c r="E100" s="3274" t="s">
        <v>969</v>
      </c>
      <c r="F100" s="3274"/>
      <c r="G100" s="3274"/>
      <c r="H100" s="3335"/>
      <c r="I100" s="1458"/>
    </row>
    <row r="101" spans="1:35" ht="18.75" customHeight="1">
      <c r="A101" s="3336" t="s">
        <v>970</v>
      </c>
      <c r="B101" s="3337"/>
      <c r="C101" s="2334" t="str">
        <f>C4</f>
        <v>比较法-商业</v>
      </c>
      <c r="D101" s="2335" t="str">
        <f>D4</f>
        <v>收益法 (元)</v>
      </c>
      <c r="E101" s="3358" t="s">
        <v>971</v>
      </c>
      <c r="F101" s="3354"/>
      <c r="G101" s="2337" t="s">
        <v>972</v>
      </c>
      <c r="H101" s="2338">
        <f ca="1">H118</f>
        <v>1056</v>
      </c>
      <c r="I101" s="1458"/>
    </row>
    <row r="102" spans="1:35" ht="18.75" customHeight="1">
      <c r="A102" s="3367" t="s">
        <v>973</v>
      </c>
      <c r="B102" s="2339" t="s">
        <v>972</v>
      </c>
      <c r="C102" s="2334">
        <f ca="1">IF(D32="楼面单价",ROUND(C19,0),C19)</f>
        <v>1124</v>
      </c>
      <c r="D102" s="2335">
        <f ca="1">IF(D32="楼面单价",ROUND(D19,0),D19)</f>
        <v>898</v>
      </c>
      <c r="E102" s="3358"/>
      <c r="F102" s="3354"/>
      <c r="G102" s="2337" t="s">
        <v>99</v>
      </c>
      <c r="H102" s="2227">
        <f ca="1">I118</f>
        <v>29717</v>
      </c>
      <c r="I102" s="1458"/>
    </row>
    <row r="103" spans="1:35" ht="42.75" customHeight="1">
      <c r="A103" s="3367"/>
      <c r="B103" s="2339" t="s">
        <v>99</v>
      </c>
      <c r="C103" s="2340">
        <f ca="1">C20</f>
        <v>31624</v>
      </c>
      <c r="D103" s="2341">
        <f ca="1">D20</f>
        <v>25267</v>
      </c>
      <c r="E103" s="3338" t="s">
        <v>974</v>
      </c>
      <c r="F103" s="3339"/>
      <c r="G103" s="2342" t="s">
        <v>102</v>
      </c>
      <c r="H103" s="2338">
        <f>IF(D36="正常操作",H104+H105+H106,H105+H106)</f>
        <v>0</v>
      </c>
      <c r="I103" s="1458"/>
    </row>
    <row r="104" spans="1:35" ht="18.75" customHeight="1">
      <c r="A104" s="3367" t="s">
        <v>975</v>
      </c>
      <c r="B104" s="2343" t="s">
        <v>972</v>
      </c>
      <c r="C104" s="2344">
        <f ca="1">H118</f>
        <v>1056</v>
      </c>
      <c r="D104" s="2345"/>
      <c r="E104" s="2183" t="s">
        <v>976</v>
      </c>
      <c r="F104" s="2346"/>
      <c r="G104" s="2342" t="s">
        <v>102</v>
      </c>
      <c r="H104" s="2347">
        <f>IF(D36="同一抵押权人同一抵押物续贷",C36&amp;"（续贷，未扣减，详见特别提示）",C36)</f>
        <v>0</v>
      </c>
      <c r="I104" s="1458"/>
    </row>
    <row r="105" spans="1:35" ht="18.75" customHeight="1">
      <c r="A105" s="3368"/>
      <c r="B105" s="2348" t="s">
        <v>99</v>
      </c>
      <c r="C105" s="2349">
        <f ca="1">I118</f>
        <v>29717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53" t="str">
        <f>IF(项目基本情况!E8="已注销","——","3.房地产抵押价值")</f>
        <v>3.房地产抵押价值</v>
      </c>
      <c r="F107" s="3354"/>
      <c r="G107" s="2337" t="s">
        <v>972</v>
      </c>
      <c r="H107" s="2338">
        <f ca="1">IF(E107="——","——",H101-H103)</f>
        <v>1056</v>
      </c>
      <c r="I107" s="1458"/>
    </row>
    <row r="108" spans="1:35" ht="18.75" customHeight="1">
      <c r="A108" s="1458"/>
      <c r="B108" s="1458"/>
      <c r="C108" s="1458"/>
      <c r="D108" s="1458"/>
      <c r="E108" s="3353"/>
      <c r="F108" s="3354"/>
      <c r="G108" s="2337" t="s">
        <v>99</v>
      </c>
      <c r="H108" s="2227">
        <f ca="1">IF(H107=H101,H102,ROUND(H107*10000/'数据-汇总表'!E3,0))</f>
        <v>29717</v>
      </c>
      <c r="I108" s="1458"/>
    </row>
    <row r="109" spans="1:35" ht="18.75" customHeight="1">
      <c r="A109" s="1458"/>
      <c r="B109" s="1458"/>
      <c r="C109" s="1458"/>
      <c r="D109" s="1458"/>
      <c r="E109" s="3353" t="str">
        <f>IF(项目基本情况!E8="已注销及未注销","4.抵押担保权已注销时的房地产抵押价值",IF(项目基本情况!E8="已注销","3.抵押担保权已注销时的房地产抵押价值","——"))</f>
        <v>——</v>
      </c>
      <c r="F109" s="3354"/>
      <c r="G109" s="2337" t="s">
        <v>972</v>
      </c>
      <c r="H109" s="2353" t="str">
        <f>IF(E109="——","——",H101-H105-H106)</f>
        <v>——</v>
      </c>
      <c r="I109" s="1458"/>
    </row>
    <row r="110" spans="1:35" ht="18.75" customHeight="1">
      <c r="A110" s="1458"/>
      <c r="B110" s="1458"/>
      <c r="C110" s="1458"/>
      <c r="D110" s="1458"/>
      <c r="E110" s="3353"/>
      <c r="F110" s="3354"/>
      <c r="G110" s="2337" t="s">
        <v>99</v>
      </c>
      <c r="H110" s="2227" t="str">
        <f>IF(H109="——","——",ROUND(H109*10000/'数据-汇总表'!E3,0))</f>
        <v>——</v>
      </c>
      <c r="I110" s="1458"/>
    </row>
    <row r="111" spans="1:35" ht="18.75" customHeight="1">
      <c r="A111" s="1458"/>
      <c r="B111" s="1458"/>
      <c r="C111" s="1458"/>
      <c r="D111" s="1458"/>
      <c r="E111" s="3355" t="str">
        <f>IF(项目基本情况!E9="抵押净值",IF(OR(项目基本情况!E8="已注销",项目基本情况!E8="房地产抵押价值"),"4.抵押净值","5.抵押净值"),"——")</f>
        <v>——</v>
      </c>
      <c r="F111" s="3327"/>
      <c r="G111" s="2337" t="s">
        <v>972</v>
      </c>
      <c r="H111" s="2338" t="str">
        <f>IF(E111="——","——",N59)</f>
        <v>——</v>
      </c>
      <c r="I111" s="1458"/>
    </row>
    <row r="112" spans="1:35" ht="18.75" customHeight="1">
      <c r="A112" s="1458"/>
      <c r="B112" s="1458"/>
      <c r="C112" s="1458"/>
      <c r="D112" s="1458"/>
      <c r="E112" s="3356"/>
      <c r="F112" s="3357"/>
      <c r="G112" s="2354" t="s">
        <v>99</v>
      </c>
      <c r="H112" s="2355" t="str">
        <f>IF(E111="——","——",N61)</f>
        <v>——</v>
      </c>
      <c r="I112" s="1458"/>
    </row>
    <row r="113" spans="1:27" ht="18.75" customHeight="1">
      <c r="A113" s="1458"/>
      <c r="B113" s="1458"/>
      <c r="C113" s="1458"/>
      <c r="D113" s="1458"/>
      <c r="E113" s="3340" t="s">
        <v>978</v>
      </c>
      <c r="F113" s="3340"/>
      <c r="G113" s="3340"/>
      <c r="H113" s="3340"/>
      <c r="I113" s="1458"/>
    </row>
    <row r="114" spans="1:27" ht="3.75" customHeight="1">
      <c r="A114" s="1998"/>
      <c r="B114" s="1998"/>
      <c r="C114" s="1998"/>
      <c r="D114" s="1998"/>
      <c r="E114" s="2237"/>
      <c r="F114" s="2237"/>
      <c r="G114" s="2237"/>
      <c r="H114" s="2237"/>
      <c r="I114" s="1998"/>
    </row>
    <row r="115" spans="1:27" ht="18.75" customHeight="1">
      <c r="A115" s="3341" t="s">
        <v>980</v>
      </c>
      <c r="B115" s="3342"/>
      <c r="C115" s="3342"/>
      <c r="D115" s="3342"/>
      <c r="E115" s="3342"/>
      <c r="F115" s="3342"/>
      <c r="G115" s="3342"/>
      <c r="H115" s="3342"/>
      <c r="I115" s="3343"/>
    </row>
    <row r="116" spans="1:27" ht="27" customHeight="1">
      <c r="A116" s="3331" t="s">
        <v>981</v>
      </c>
      <c r="B116" s="3370" t="s">
        <v>982</v>
      </c>
      <c r="C116" s="3370" t="s">
        <v>983</v>
      </c>
      <c r="D116" s="3344" t="s">
        <v>984</v>
      </c>
      <c r="E116" s="3345"/>
      <c r="F116" s="3346" t="s">
        <v>985</v>
      </c>
      <c r="G116" s="3346"/>
      <c r="H116" s="3331" t="s">
        <v>986</v>
      </c>
      <c r="I116" s="3331"/>
    </row>
    <row r="117" spans="1:27" ht="18.75" customHeight="1">
      <c r="A117" s="3331"/>
      <c r="B117" s="3371"/>
      <c r="C117" s="3371"/>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355.32</v>
      </c>
      <c r="C118" s="868">
        <f>M19</f>
        <v>0</v>
      </c>
      <c r="D118" s="868">
        <f ca="1">ROUND(IF(D32="总价",C34,E118*B118/10000),0)</f>
        <v>807</v>
      </c>
      <c r="E118" s="868">
        <f ca="1">ROUND(IF(C33="自定义",IF(D32="楼面单价",C34,D118*10000/B118),I118-G118),0)</f>
        <v>22704</v>
      </c>
      <c r="F118" s="868">
        <f ca="1">ROUND(IF(D32="总价",C35,G118*B118/10000),0)</f>
        <v>249</v>
      </c>
      <c r="G118" s="868">
        <f ca="1">ROUND(IF(D32="楼面单价",C35,F118*10000/B118),0)</f>
        <v>7013</v>
      </c>
      <c r="H118" s="2357">
        <f ca="1">ROUND(IF(D32="总价",C32,I118*B118/10000),0)</f>
        <v>1056</v>
      </c>
      <c r="I118" s="868">
        <f ca="1">ROUND(IF(D32="楼面单价",C32,H118*10000/B118),0)</f>
        <v>29717</v>
      </c>
    </row>
    <row r="119" spans="1:27" ht="18.75" customHeight="1">
      <c r="A119" s="3331" t="s">
        <v>988</v>
      </c>
      <c r="B119" s="3331"/>
      <c r="C119" s="3331"/>
      <c r="D119" s="3332" t="str">
        <f ca="1">NUMBERSTRING(INT(D118*10000),2)&amp;"元整"</f>
        <v>捌佰零柒万元整</v>
      </c>
      <c r="E119" s="3334"/>
      <c r="F119" s="3332" t="str">
        <f ca="1">NUMBERSTRING(INT(F118*10000),2)&amp;"元整"</f>
        <v>贰佰肆拾玖万元整</v>
      </c>
      <c r="G119" s="3334"/>
      <c r="H119" s="3332" t="str">
        <f ca="1">NUMBERSTRING(INT(H118*10000),2)&amp;"元整"</f>
        <v>壹仟零伍拾陆万元整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2" t="s">
        <v>988</v>
      </c>
      <c r="B121" s="3333"/>
      <c r="C121" s="3334"/>
      <c r="D121" s="3332" t="str">
        <f>IF(D120=0,"零元整",NUMBERSTRING(INT(D120*10000),2)&amp;"元整")</f>
        <v>零元整</v>
      </c>
      <c r="E121" s="3333"/>
      <c r="F121" s="3333"/>
      <c r="G121" s="3333"/>
      <c r="H121" s="3333"/>
      <c r="I121" s="3334"/>
      <c r="AA121" s="1417"/>
    </row>
    <row r="122" spans="1:27" ht="18.75" customHeight="1">
      <c r="A122" s="3327" t="str">
        <f>IF(项目基本情况!B9="房地产市场价值","",MID(E107,3,LEN(E107)-2))</f>
        <v>房地产抵押价值</v>
      </c>
      <c r="B122" s="3327"/>
      <c r="C122" s="3327"/>
      <c r="D122" s="3328">
        <f ca="1">H107</f>
        <v>1056</v>
      </c>
      <c r="E122" s="3329"/>
      <c r="F122" s="3329"/>
      <c r="G122" s="3329"/>
      <c r="H122" s="3329"/>
      <c r="I122" s="3330"/>
      <c r="AA122" s="1417"/>
    </row>
    <row r="123" spans="1:27" ht="18.75" customHeight="1">
      <c r="A123" s="3331" t="s">
        <v>988</v>
      </c>
      <c r="B123" s="3331"/>
      <c r="C123" s="3331"/>
      <c r="D123" s="3332" t="str">
        <f ca="1">NUMBERSTRING(INT(D122*10000),2)&amp;"元整"</f>
        <v>壹仟零伍拾陆万元整</v>
      </c>
      <c r="E123" s="3333"/>
      <c r="F123" s="3333"/>
      <c r="G123" s="3333"/>
      <c r="H123" s="3333"/>
      <c r="I123" s="3334"/>
      <c r="AA123" s="1417"/>
    </row>
    <row r="124" spans="1:27" ht="18.75" customHeight="1">
      <c r="A124" s="3327" t="str">
        <f>IF(项目基本情况!B9="房地产市场价值","",MID(E109,3,LEN(E109)-2))</f>
        <v/>
      </c>
      <c r="B124" s="3327"/>
      <c r="C124" s="3327"/>
      <c r="D124" s="3328" t="str">
        <f>H109</f>
        <v>——</v>
      </c>
      <c r="E124" s="3329"/>
      <c r="F124" s="3329"/>
      <c r="G124" s="3329"/>
      <c r="H124" s="3329"/>
      <c r="I124" s="3330"/>
      <c r="AA124" s="1417"/>
    </row>
    <row r="125" spans="1:27" ht="18.75" customHeight="1">
      <c r="A125" s="3331" t="s">
        <v>988</v>
      </c>
      <c r="B125" s="3331"/>
      <c r="C125" s="3331"/>
      <c r="D125" s="3332" t="e">
        <f>NUMBERSTRING(INT(D124*10000),2)&amp;"元整"</f>
        <v>#VALUE!</v>
      </c>
      <c r="E125" s="3333"/>
      <c r="F125" s="3333"/>
      <c r="G125" s="3333"/>
      <c r="H125" s="3333"/>
      <c r="I125" s="3334"/>
      <c r="AA125" s="1417"/>
    </row>
    <row r="126" spans="1:27" ht="18.75" customHeight="1">
      <c r="A126" s="3327" t="str">
        <f>IF(项目基本情况!B9="房地产市场价值","",MID(E111,3,LEN(E111)-2))</f>
        <v/>
      </c>
      <c r="B126" s="3327"/>
      <c r="C126" s="3327"/>
      <c r="D126" s="3328" t="str">
        <f>H111</f>
        <v>——</v>
      </c>
      <c r="E126" s="3329"/>
      <c r="F126" s="3329"/>
      <c r="G126" s="3329"/>
      <c r="H126" s="3329"/>
      <c r="I126" s="3330"/>
      <c r="AA126" s="1417"/>
    </row>
    <row r="127" spans="1:27" ht="18.75" customHeight="1">
      <c r="A127" s="3331" t="s">
        <v>988</v>
      </c>
      <c r="B127" s="3331"/>
      <c r="C127" s="3331"/>
      <c r="D127" s="3332" t="e">
        <f>NUMBERSTRING(INT(D126*10000),2)&amp;"元整"</f>
        <v>#VALUE!</v>
      </c>
      <c r="E127" s="3333"/>
      <c r="F127" s="3333"/>
      <c r="G127" s="3333"/>
      <c r="H127" s="3333"/>
      <c r="I127" s="3334"/>
      <c r="AA127" s="1417"/>
    </row>
    <row r="128" spans="1:27" ht="21.75" customHeight="1">
      <c r="A128" s="3361" t="s">
        <v>113</v>
      </c>
      <c r="B128" s="3361"/>
      <c r="C128" s="3361"/>
      <c r="D128" s="3361"/>
      <c r="E128" s="3361"/>
      <c r="F128" s="3361"/>
      <c r="G128" s="3361"/>
      <c r="H128" s="3361"/>
      <c r="I128" s="3361"/>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75" t="s">
        <v>1076</v>
      </c>
    </row>
    <row r="43" spans="1:7" ht="13.5" customHeight="1">
      <c r="A43" s="386" t="s">
        <v>1008</v>
      </c>
      <c r="B43" s="359" t="s">
        <v>1046</v>
      </c>
      <c r="C43" s="388">
        <f ca="1">ROUND(IF('数据-取费表'!B22&lt;=1,C39*F22*'数据-取费表'!B21/2,C39*(POWER((1+F22),'数据-取费表'!B21/2)-1)),0)</f>
        <v>0</v>
      </c>
      <c r="D43" s="388"/>
      <c r="E43" s="388"/>
      <c r="F43" s="389"/>
      <c r="G43" s="3376"/>
    </row>
    <row r="44" spans="1:7" ht="13.5" customHeight="1">
      <c r="A44" s="386" t="s">
        <v>1010</v>
      </c>
      <c r="B44" s="359" t="s">
        <v>1048</v>
      </c>
      <c r="C44" s="388">
        <f ca="1">ROUND(IF('数据-取费表'!B22&lt;=1,C40*F22*'数据-取费表'!B21/2,C40*(POWER((1+F22),'数据-取费表'!B21/2)-1)),4)</f>
        <v>5.9999999999999995E-4</v>
      </c>
      <c r="D44" s="388"/>
      <c r="E44" s="388"/>
      <c r="F44" s="389"/>
      <c r="G44" s="3377"/>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6.2">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1" t="str">
        <f>项目基本情况!B1</f>
        <v>北京市朝阳区西大望路15号3号楼6层604房地产抵押价值预评估</v>
      </c>
      <c r="C37" s="3191"/>
      <c r="D37" s="3191"/>
      <c r="E37" s="3191"/>
      <c r="F37" s="3191"/>
      <c r="G37" s="3191"/>
      <c r="H37" s="3191"/>
      <c r="I37" s="3191"/>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0" t="s">
        <v>1160</v>
      </c>
      <c r="C6" s="1853">
        <f ca="1">ROUND(F6*F8*F7*(1-F9)/10000,0)</f>
        <v>0</v>
      </c>
      <c r="D6" s="1854" t="s">
        <v>1161</v>
      </c>
      <c r="E6" s="1855" t="s">
        <v>1162</v>
      </c>
      <c r="F6" s="1856">
        <f ca="1">INDIRECT("'数据-取费表'!u"&amp;$G$1)</f>
        <v>0</v>
      </c>
      <c r="G6" s="714"/>
      <c r="H6" s="1852" t="s">
        <v>905</v>
      </c>
      <c r="I6" s="3380" t="s">
        <v>1160</v>
      </c>
      <c r="J6" s="1926">
        <f ca="1">ROUND(M6*M8*M7*(1-M9)/10000,0)</f>
        <v>0</v>
      </c>
      <c r="K6" s="1854" t="s">
        <v>1163</v>
      </c>
      <c r="L6" s="1855" t="s">
        <v>1162</v>
      </c>
      <c r="M6" s="1856">
        <f ca="1">INDIRECT("'数据-取费表'!z"&amp;$G$1)</f>
        <v>0</v>
      </c>
    </row>
    <row r="7" spans="1:37" ht="18" customHeight="1">
      <c r="A7" s="1857"/>
      <c r="B7" s="3381"/>
      <c r="C7" s="1858"/>
      <c r="D7" s="1859"/>
      <c r="E7" s="1860" t="s">
        <v>1164</v>
      </c>
      <c r="F7" s="1856">
        <f ca="1">IF(INDIRECT("'数据-取费表'!ah"&amp;$G$1)="",INDIRECT("'数据-取费表'!k"&amp;$G$1),INDIRECT("'数据-取费表'!ah"&amp;$G$1))</f>
        <v>0</v>
      </c>
      <c r="G7" s="714"/>
      <c r="H7" s="1861"/>
      <c r="I7" s="3381"/>
      <c r="J7" s="1862"/>
      <c r="K7" s="1859"/>
      <c r="L7" s="1855" t="s">
        <v>1164</v>
      </c>
      <c r="M7" s="1856">
        <f ca="1">F7</f>
        <v>0</v>
      </c>
    </row>
    <row r="8" spans="1:37" ht="18" customHeight="1">
      <c r="A8" s="1861"/>
      <c r="B8" s="3381"/>
      <c r="C8" s="1862"/>
      <c r="D8" s="1859"/>
      <c r="E8" s="1855" t="s">
        <v>1165</v>
      </c>
      <c r="F8" s="1856">
        <f ca="1">INDIRECT("'数据-取费表'!ai"&amp;$G$1)</f>
        <v>0</v>
      </c>
      <c r="G8" s="714"/>
      <c r="H8" s="1861"/>
      <c r="I8" s="3381"/>
      <c r="J8" s="1862"/>
      <c r="K8" s="1859"/>
      <c r="L8" s="1855" t="s">
        <v>1165</v>
      </c>
      <c r="M8" s="1856">
        <f ca="1">INDIRECT("'数据-取费表'!ai"&amp;$G$1)</f>
        <v>0</v>
      </c>
    </row>
    <row r="9" spans="1:37" ht="18" customHeight="1">
      <c r="A9" s="1861"/>
      <c r="B9" s="3382"/>
      <c r="C9" s="1862"/>
      <c r="D9" s="1859"/>
      <c r="E9" s="1855" t="s">
        <v>1166</v>
      </c>
      <c r="F9" s="1863">
        <f ca="1">INDIRECT("'数据-取费表'!w"&amp;$G$1)</f>
        <v>0</v>
      </c>
      <c r="G9" s="714"/>
      <c r="H9" s="1861"/>
      <c r="I9" s="3382"/>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78" t="s">
        <v>1284</v>
      </c>
      <c r="L53" s="3379"/>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18" t="s">
        <v>1352</v>
      </c>
      <c r="Q4" s="3419"/>
      <c r="R4" s="3424" t="s">
        <v>1348</v>
      </c>
      <c r="S4" s="3425"/>
      <c r="T4" s="3424" t="s">
        <v>1349</v>
      </c>
      <c r="U4" s="3425"/>
      <c r="V4" s="3430" t="s">
        <v>1350</v>
      </c>
      <c r="W4" s="3430"/>
      <c r="X4" s="2102"/>
      <c r="Y4" s="3424" t="s">
        <v>1352</v>
      </c>
      <c r="Z4" s="3425"/>
      <c r="AA4" s="3412" t="s">
        <v>1348</v>
      </c>
      <c r="AB4" s="3412" t="s">
        <v>1349</v>
      </c>
      <c r="AC4" s="3415" t="s">
        <v>1350</v>
      </c>
    </row>
    <row r="5" spans="1:29" ht="13.95" customHeight="1">
      <c r="A5" s="922"/>
      <c r="B5" s="923"/>
      <c r="C5" s="3387" t="s">
        <v>2791</v>
      </c>
      <c r="D5" s="3388"/>
      <c r="E5" s="3387" t="s">
        <v>2791</v>
      </c>
      <c r="F5" s="3388"/>
      <c r="G5" s="3387" t="s">
        <v>2791</v>
      </c>
      <c r="H5" s="3388"/>
      <c r="I5" s="3387" t="s">
        <v>2793</v>
      </c>
      <c r="J5" s="3388"/>
      <c r="K5" s="1064"/>
      <c r="L5" s="1065"/>
      <c r="M5" s="1015"/>
      <c r="N5" s="1015"/>
      <c r="O5" s="1015"/>
      <c r="P5" s="3420"/>
      <c r="Q5" s="3421"/>
      <c r="R5" s="3426"/>
      <c r="S5" s="3427"/>
      <c r="T5" s="3426"/>
      <c r="U5" s="3427"/>
      <c r="V5" s="3399"/>
      <c r="W5" s="3399"/>
      <c r="X5" s="1113"/>
      <c r="Y5" s="3426"/>
      <c r="Z5" s="3427"/>
      <c r="AA5" s="3413"/>
      <c r="AB5" s="3413"/>
      <c r="AC5" s="3416"/>
    </row>
    <row r="6" spans="1:29" ht="14.4">
      <c r="A6" s="924"/>
      <c r="B6" s="925"/>
      <c r="C6" s="3389" t="s">
        <v>1354</v>
      </c>
      <c r="D6" s="3390"/>
      <c r="E6" s="3391" t="s">
        <v>1354</v>
      </c>
      <c r="F6" s="3392"/>
      <c r="G6" s="3389" t="s">
        <v>1354</v>
      </c>
      <c r="H6" s="3390"/>
      <c r="I6" s="3389" t="s">
        <v>1354</v>
      </c>
      <c r="J6" s="3390"/>
      <c r="K6" s="1064" t="s">
        <v>1355</v>
      </c>
      <c r="L6" s="1065"/>
      <c r="M6" s="1015"/>
      <c r="N6" s="1015"/>
      <c r="O6" s="1015"/>
      <c r="P6" s="3422"/>
      <c r="Q6" s="3423"/>
      <c r="R6" s="3426"/>
      <c r="S6" s="3427"/>
      <c r="T6" s="3428"/>
      <c r="U6" s="3429"/>
      <c r="V6" s="3399"/>
      <c r="W6" s="3399"/>
      <c r="X6" s="1113"/>
      <c r="Y6" s="3428"/>
      <c r="Z6" s="3429"/>
      <c r="AA6" s="3414"/>
      <c r="AB6" s="3414"/>
      <c r="AC6" s="3417"/>
    </row>
    <row r="7" spans="1:29" s="899" customFormat="1" ht="14.4">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393" t="s">
        <v>1357</v>
      </c>
      <c r="Q7" s="3394"/>
      <c r="R7" s="1114" t="s">
        <v>1358</v>
      </c>
      <c r="S7" s="1115">
        <f t="shared" ref="S7:S15" si="0">F7</f>
        <v>100</v>
      </c>
      <c r="T7" s="1114" t="s">
        <v>1358</v>
      </c>
      <c r="U7" s="1115">
        <f t="shared" ref="U7:U15" si="1">H7</f>
        <v>100</v>
      </c>
      <c r="V7" s="1114" t="s">
        <v>1358</v>
      </c>
      <c r="W7" s="1115">
        <f t="shared" ref="W7:W15" si="2">J7</f>
        <v>100</v>
      </c>
      <c r="X7" s="1116"/>
      <c r="Y7" s="3395" t="s">
        <v>1357</v>
      </c>
      <c r="Z7" s="3396"/>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393" t="s">
        <v>1361</v>
      </c>
      <c r="Q8" s="3396"/>
      <c r="R8" s="1114" t="s">
        <v>1358</v>
      </c>
      <c r="S8" s="1115">
        <f t="shared" si="0"/>
        <v>103</v>
      </c>
      <c r="T8" s="1114" t="s">
        <v>1358</v>
      </c>
      <c r="U8" s="1115">
        <f t="shared" si="1"/>
        <v>103</v>
      </c>
      <c r="V8" s="1114" t="s">
        <v>1358</v>
      </c>
      <c r="W8" s="1115">
        <f t="shared" si="2"/>
        <v>103</v>
      </c>
      <c r="X8" s="1116"/>
      <c r="Y8" s="3395" t="s">
        <v>1361</v>
      </c>
      <c r="Z8" s="3396"/>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7"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397"/>
      <c r="Q10" s="790" t="str">
        <f t="shared" si="6"/>
        <v>土地使用年限（年）</v>
      </c>
      <c r="R10" s="1114" t="s">
        <v>1358</v>
      </c>
      <c r="S10" s="1115">
        <f t="shared" si="0"/>
        <v>100</v>
      </c>
      <c r="T10" s="1114" t="s">
        <v>1358</v>
      </c>
      <c r="U10" s="1115">
        <f t="shared" si="1"/>
        <v>100</v>
      </c>
      <c r="V10" s="1114" t="s">
        <v>1358</v>
      </c>
      <c r="W10" s="1115">
        <f t="shared" si="2"/>
        <v>100</v>
      </c>
      <c r="X10" s="1116"/>
      <c r="Y10" s="3369"/>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7"/>
      <c r="Q11" s="790" t="str">
        <f t="shared" si="6"/>
        <v>容积率</v>
      </c>
      <c r="R11" s="1114" t="s">
        <v>1358</v>
      </c>
      <c r="S11" s="1115">
        <f t="shared" si="0"/>
        <v>100</v>
      </c>
      <c r="T11" s="1114" t="s">
        <v>1358</v>
      </c>
      <c r="U11" s="1115">
        <f t="shared" si="1"/>
        <v>100</v>
      </c>
      <c r="V11" s="1114" t="s">
        <v>1358</v>
      </c>
      <c r="W11" s="1115">
        <f t="shared" si="2"/>
        <v>100</v>
      </c>
      <c r="X11" s="1116"/>
      <c r="Y11" s="3369"/>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397"/>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397"/>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397"/>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0" t="s">
        <v>1370</v>
      </c>
      <c r="Q15" s="621" t="str">
        <f t="shared" si="6"/>
        <v>办公集聚程度</v>
      </c>
      <c r="R15" s="1118" t="s">
        <v>1358</v>
      </c>
      <c r="S15" s="1119">
        <f t="shared" si="0"/>
        <v>100</v>
      </c>
      <c r="T15" s="1118" t="s">
        <v>1358</v>
      </c>
      <c r="U15" s="1119">
        <f t="shared" si="1"/>
        <v>100</v>
      </c>
      <c r="V15" s="1118" t="s">
        <v>1358</v>
      </c>
      <c r="W15" s="1119">
        <f t="shared" si="2"/>
        <v>100</v>
      </c>
      <c r="X15" s="1113"/>
      <c r="Y15" s="3405"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01"/>
      <c r="Q16" s="621"/>
      <c r="R16" s="1118"/>
      <c r="S16" s="1119"/>
      <c r="T16" s="1118"/>
      <c r="U16" s="1119"/>
      <c r="V16" s="1118"/>
      <c r="W16" s="1119"/>
      <c r="X16" s="1113"/>
      <c r="Y16" s="3406"/>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1"/>
      <c r="Q17" s="621" t="str">
        <f>B17</f>
        <v>交通便捷度</v>
      </c>
      <c r="R17" s="1118" t="s">
        <v>1358</v>
      </c>
      <c r="S17" s="1119">
        <f>F17</f>
        <v>100</v>
      </c>
      <c r="T17" s="1118" t="s">
        <v>1358</v>
      </c>
      <c r="U17" s="1119">
        <f>H17</f>
        <v>100</v>
      </c>
      <c r="V17" s="1118" t="s">
        <v>1358</v>
      </c>
      <c r="W17" s="1119">
        <f>J17</f>
        <v>100</v>
      </c>
      <c r="X17" s="1113"/>
      <c r="Y17" s="3406"/>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01"/>
      <c r="Q18" s="621"/>
      <c r="R18" s="1118"/>
      <c r="S18" s="1119"/>
      <c r="T18" s="1118"/>
      <c r="U18" s="1119"/>
      <c r="V18" s="1118"/>
      <c r="W18" s="1119"/>
      <c r="X18" s="1113"/>
      <c r="Y18" s="3406"/>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1"/>
      <c r="Q19" s="621" t="str">
        <f>B19</f>
        <v>公共配套设施</v>
      </c>
      <c r="R19" s="1118" t="s">
        <v>1358</v>
      </c>
      <c r="S19" s="1119">
        <f>F19</f>
        <v>100</v>
      </c>
      <c r="T19" s="1118" t="s">
        <v>1358</v>
      </c>
      <c r="U19" s="1119">
        <f>H19</f>
        <v>100</v>
      </c>
      <c r="V19" s="1118" t="s">
        <v>1358</v>
      </c>
      <c r="W19" s="1119">
        <f>J19</f>
        <v>100</v>
      </c>
      <c r="X19" s="1113"/>
      <c r="Y19" s="3406"/>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01"/>
      <c r="Q20" s="621"/>
      <c r="R20" s="1118"/>
      <c r="S20" s="1119"/>
      <c r="T20" s="1118"/>
      <c r="U20" s="1119"/>
      <c r="V20" s="1118"/>
      <c r="W20" s="1119"/>
      <c r="X20" s="1113"/>
      <c r="Y20" s="3406"/>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1"/>
      <c r="Q21" s="621" t="str">
        <f>B21</f>
        <v>基础设施水平</v>
      </c>
      <c r="R21" s="1118" t="s">
        <v>1358</v>
      </c>
      <c r="S21" s="1119">
        <f>F21</f>
        <v>100</v>
      </c>
      <c r="T21" s="1118" t="s">
        <v>1358</v>
      </c>
      <c r="U21" s="1119">
        <f>H21</f>
        <v>100</v>
      </c>
      <c r="V21" s="1118" t="s">
        <v>1358</v>
      </c>
      <c r="W21" s="1119">
        <f>J21</f>
        <v>100</v>
      </c>
      <c r="X21" s="1113"/>
      <c r="Y21" s="3406"/>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1"/>
      <c r="Q22" s="621"/>
      <c r="R22" s="1118"/>
      <c r="S22" s="1119"/>
      <c r="T22" s="1118"/>
      <c r="U22" s="1119"/>
      <c r="V22" s="1118"/>
      <c r="W22" s="1119"/>
      <c r="X22" s="1113"/>
      <c r="Y22" s="3406"/>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1"/>
      <c r="Q23" s="621" t="str">
        <f>B23</f>
        <v>环境质量</v>
      </c>
      <c r="R23" s="1118" t="s">
        <v>1358</v>
      </c>
      <c r="S23" s="1119">
        <f>F23</f>
        <v>100</v>
      </c>
      <c r="T23" s="1118" t="s">
        <v>1358</v>
      </c>
      <c r="U23" s="1119">
        <f>H23</f>
        <v>100</v>
      </c>
      <c r="V23" s="1118" t="s">
        <v>1358</v>
      </c>
      <c r="W23" s="1119">
        <f>J23</f>
        <v>100</v>
      </c>
      <c r="X23" s="1113"/>
      <c r="Y23" s="3406"/>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01"/>
      <c r="Q24" s="621"/>
      <c r="R24" s="1118"/>
      <c r="S24" s="1119"/>
      <c r="T24" s="1118"/>
      <c r="U24" s="1119"/>
      <c r="V24" s="1118"/>
      <c r="W24" s="1119"/>
      <c r="X24" s="1113"/>
      <c r="Y24" s="3406"/>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1"/>
      <c r="Q25" s="621" t="str">
        <f>B25</f>
        <v>毗邻道路的类型与等级</v>
      </c>
      <c r="R25" s="1118" t="s">
        <v>1358</v>
      </c>
      <c r="S25" s="1119">
        <f>F25</f>
        <v>100</v>
      </c>
      <c r="T25" s="1118" t="s">
        <v>1358</v>
      </c>
      <c r="U25" s="1119">
        <f>H25</f>
        <v>100</v>
      </c>
      <c r="V25" s="1118" t="s">
        <v>1358</v>
      </c>
      <c r="W25" s="1119">
        <f>J25</f>
        <v>100</v>
      </c>
      <c r="X25" s="1113"/>
      <c r="Y25" s="3406"/>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1"/>
      <c r="Q26" s="621"/>
      <c r="R26" s="1118"/>
      <c r="S26" s="1119"/>
      <c r="T26" s="1118"/>
      <c r="U26" s="1119"/>
      <c r="V26" s="1118"/>
      <c r="W26" s="1119"/>
      <c r="X26" s="1113"/>
      <c r="Y26" s="3406"/>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01"/>
      <c r="Q27" s="621" t="str">
        <f t="shared" ref="Q27:Q47" si="11">B27</f>
        <v>楼层</v>
      </c>
      <c r="R27" s="1118" t="s">
        <v>1358</v>
      </c>
      <c r="S27" s="1119">
        <f>F27</f>
        <v>100</v>
      </c>
      <c r="T27" s="1118" t="s">
        <v>1358</v>
      </c>
      <c r="U27" s="1119">
        <f>H27</f>
        <v>100</v>
      </c>
      <c r="V27" s="1118" t="s">
        <v>1358</v>
      </c>
      <c r="W27" s="1119">
        <f>J27</f>
        <v>97</v>
      </c>
      <c r="X27" s="1113"/>
      <c r="Y27" s="3406"/>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1"/>
      <c r="Q28" s="790" t="str">
        <f t="shared" si="11"/>
        <v>朝向</v>
      </c>
      <c r="R28" s="1114" t="s">
        <v>1358</v>
      </c>
      <c r="S28" s="1115">
        <f>F28</f>
        <v>100</v>
      </c>
      <c r="T28" s="1114" t="s">
        <v>1358</v>
      </c>
      <c r="U28" s="1115">
        <f>H28</f>
        <v>100</v>
      </c>
      <c r="V28" s="1114" t="s">
        <v>1358</v>
      </c>
      <c r="W28" s="1115">
        <f>J28</f>
        <v>100</v>
      </c>
      <c r="X28" s="1116"/>
      <c r="Y28" s="3406"/>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1"/>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06"/>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1"/>
      <c r="Q30" s="621">
        <f t="shared" si="11"/>
        <v>111</v>
      </c>
      <c r="R30" s="1118" t="s">
        <v>1358</v>
      </c>
      <c r="S30" s="1119">
        <f t="shared" si="12"/>
        <v>100</v>
      </c>
      <c r="T30" s="1118" t="s">
        <v>1358</v>
      </c>
      <c r="U30" s="1119">
        <f t="shared" si="13"/>
        <v>100</v>
      </c>
      <c r="V30" s="1118" t="s">
        <v>1358</v>
      </c>
      <c r="W30" s="1119">
        <f t="shared" si="14"/>
        <v>100</v>
      </c>
      <c r="X30" s="1113"/>
      <c r="Y30" s="3406"/>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1"/>
      <c r="Q31" s="621">
        <f t="shared" si="11"/>
        <v>111</v>
      </c>
      <c r="R31" s="1118" t="s">
        <v>1358</v>
      </c>
      <c r="S31" s="1119">
        <f t="shared" si="12"/>
        <v>100</v>
      </c>
      <c r="T31" s="1118" t="s">
        <v>1358</v>
      </c>
      <c r="U31" s="1119">
        <f t="shared" si="13"/>
        <v>100</v>
      </c>
      <c r="V31" s="1118" t="s">
        <v>1358</v>
      </c>
      <c r="W31" s="1119">
        <f t="shared" si="14"/>
        <v>100</v>
      </c>
      <c r="X31" s="1113"/>
      <c r="Y31" s="3406"/>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1"/>
      <c r="Q32" s="621">
        <f t="shared" si="11"/>
        <v>111</v>
      </c>
      <c r="R32" s="1118" t="s">
        <v>1358</v>
      </c>
      <c r="S32" s="1119">
        <f t="shared" si="12"/>
        <v>100</v>
      </c>
      <c r="T32" s="1118" t="s">
        <v>1358</v>
      </c>
      <c r="U32" s="1119">
        <f t="shared" si="13"/>
        <v>100</v>
      </c>
      <c r="V32" s="1118" t="s">
        <v>1358</v>
      </c>
      <c r="W32" s="1119">
        <f t="shared" si="14"/>
        <v>100</v>
      </c>
      <c r="X32" s="1113"/>
      <c r="Y32" s="3406"/>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02" t="s">
        <v>1384</v>
      </c>
      <c r="Q33" s="621" t="str">
        <f t="shared" si="11"/>
        <v>建筑类型</v>
      </c>
      <c r="R33" s="1118" t="s">
        <v>1358</v>
      </c>
      <c r="S33" s="1119">
        <f t="shared" si="12"/>
        <v>100</v>
      </c>
      <c r="T33" s="1118" t="s">
        <v>1358</v>
      </c>
      <c r="U33" s="1119">
        <f t="shared" si="13"/>
        <v>100</v>
      </c>
      <c r="V33" s="1118" t="s">
        <v>1358</v>
      </c>
      <c r="W33" s="1119">
        <f t="shared" si="14"/>
        <v>100</v>
      </c>
      <c r="X33" s="1113"/>
      <c r="Y33" s="3407"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03"/>
      <c r="Q34" s="1308" t="str">
        <f t="shared" si="11"/>
        <v>项目建筑规模</v>
      </c>
      <c r="R34" s="1120" t="s">
        <v>1358</v>
      </c>
      <c r="S34" s="1121">
        <f t="shared" si="12"/>
        <v>100</v>
      </c>
      <c r="T34" s="1120" t="s">
        <v>1358</v>
      </c>
      <c r="U34" s="1121">
        <f t="shared" si="13"/>
        <v>100</v>
      </c>
      <c r="V34" s="1120" t="s">
        <v>1358</v>
      </c>
      <c r="W34" s="1121">
        <f t="shared" si="14"/>
        <v>100</v>
      </c>
      <c r="X34" s="1122"/>
      <c r="Y34" s="3407"/>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03"/>
      <c r="Q35" s="621" t="str">
        <f t="shared" si="11"/>
        <v>建筑结构</v>
      </c>
      <c r="R35" s="1118" t="s">
        <v>1358</v>
      </c>
      <c r="S35" s="1119">
        <f t="shared" si="12"/>
        <v>100</v>
      </c>
      <c r="T35" s="1118" t="s">
        <v>1358</v>
      </c>
      <c r="U35" s="1119">
        <f t="shared" si="13"/>
        <v>100</v>
      </c>
      <c r="V35" s="1118" t="s">
        <v>1358</v>
      </c>
      <c r="W35" s="1119">
        <f t="shared" si="14"/>
        <v>100</v>
      </c>
      <c r="X35" s="1113"/>
      <c r="Y35" s="3407"/>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03"/>
      <c r="Q36" s="621" t="str">
        <f t="shared" si="11"/>
        <v>公共部分装修</v>
      </c>
      <c r="R36" s="1118" t="s">
        <v>1358</v>
      </c>
      <c r="S36" s="1119">
        <f t="shared" si="12"/>
        <v>100</v>
      </c>
      <c r="T36" s="1118" t="s">
        <v>1358</v>
      </c>
      <c r="U36" s="1119">
        <f t="shared" si="13"/>
        <v>100</v>
      </c>
      <c r="V36" s="1118" t="s">
        <v>1358</v>
      </c>
      <c r="W36" s="1119">
        <f t="shared" si="14"/>
        <v>100</v>
      </c>
      <c r="X36" s="1113"/>
      <c r="Y36" s="3407"/>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03"/>
      <c r="Q37" s="621" t="str">
        <f t="shared" si="11"/>
        <v>成新度</v>
      </c>
      <c r="R37" s="1118" t="s">
        <v>1358</v>
      </c>
      <c r="S37" s="1119">
        <f t="shared" si="12"/>
        <v>100</v>
      </c>
      <c r="T37" s="1118" t="s">
        <v>1358</v>
      </c>
      <c r="U37" s="1119">
        <f t="shared" si="13"/>
        <v>100</v>
      </c>
      <c r="V37" s="1118" t="s">
        <v>1358</v>
      </c>
      <c r="W37" s="1119">
        <f t="shared" si="14"/>
        <v>100</v>
      </c>
      <c r="X37" s="1113"/>
      <c r="Y37" s="3407"/>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03"/>
      <c r="Q38" s="790" t="str">
        <f t="shared" si="11"/>
        <v>写字楼等级</v>
      </c>
      <c r="R38" s="1114" t="s">
        <v>1358</v>
      </c>
      <c r="S38" s="1115">
        <f t="shared" si="12"/>
        <v>100</v>
      </c>
      <c r="T38" s="1114" t="s">
        <v>1358</v>
      </c>
      <c r="U38" s="1115">
        <f t="shared" si="13"/>
        <v>100</v>
      </c>
      <c r="V38" s="1114" t="s">
        <v>1358</v>
      </c>
      <c r="W38" s="1115">
        <f t="shared" si="14"/>
        <v>100</v>
      </c>
      <c r="X38" s="1116"/>
      <c r="Y38" s="3407"/>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03" t="s">
        <v>1384</v>
      </c>
      <c r="Q39" s="621" t="str">
        <f t="shared" si="11"/>
        <v>物业管理</v>
      </c>
      <c r="R39" s="1118" t="s">
        <v>1358</v>
      </c>
      <c r="S39" s="1119">
        <f t="shared" si="12"/>
        <v>100</v>
      </c>
      <c r="T39" s="1118" t="s">
        <v>1358</v>
      </c>
      <c r="U39" s="1119">
        <f t="shared" si="13"/>
        <v>100</v>
      </c>
      <c r="V39" s="1118" t="s">
        <v>1358</v>
      </c>
      <c r="W39" s="1119">
        <f t="shared" si="14"/>
        <v>100</v>
      </c>
      <c r="X39" s="1113"/>
      <c r="Y39" s="3407"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3"/>
      <c r="Q40" s="621" t="str">
        <f t="shared" si="11"/>
        <v>市政基础设施</v>
      </c>
      <c r="R40" s="1118" t="s">
        <v>1358</v>
      </c>
      <c r="S40" s="1119">
        <f t="shared" si="12"/>
        <v>100</v>
      </c>
      <c r="T40" s="1118" t="s">
        <v>1358</v>
      </c>
      <c r="U40" s="1119">
        <f t="shared" si="13"/>
        <v>100</v>
      </c>
      <c r="V40" s="1118" t="s">
        <v>1358</v>
      </c>
      <c r="W40" s="1119">
        <f t="shared" si="14"/>
        <v>100</v>
      </c>
      <c r="X40" s="1113"/>
      <c r="Y40" s="3407"/>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03"/>
      <c r="Q41" s="621" t="str">
        <f t="shared" si="11"/>
        <v>层高</v>
      </c>
      <c r="R41" s="1118" t="s">
        <v>1358</v>
      </c>
      <c r="S41" s="1119">
        <f t="shared" si="12"/>
        <v>100</v>
      </c>
      <c r="T41" s="1118" t="s">
        <v>1358</v>
      </c>
      <c r="U41" s="1119">
        <f t="shared" si="13"/>
        <v>100</v>
      </c>
      <c r="V41" s="1118" t="s">
        <v>1358</v>
      </c>
      <c r="W41" s="1119">
        <f t="shared" si="14"/>
        <v>100</v>
      </c>
      <c r="X41" s="1113"/>
      <c r="Y41" s="3407"/>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3"/>
      <c r="Q42" s="1308" t="str">
        <f t="shared" si="11"/>
        <v>单套建筑面积</v>
      </c>
      <c r="R42" s="1120" t="s">
        <v>1358</v>
      </c>
      <c r="S42" s="1121">
        <f t="shared" si="12"/>
        <v>100</v>
      </c>
      <c r="T42" s="1120" t="s">
        <v>1358</v>
      </c>
      <c r="U42" s="1121">
        <f t="shared" si="13"/>
        <v>100</v>
      </c>
      <c r="V42" s="1120" t="s">
        <v>1358</v>
      </c>
      <c r="W42" s="1121">
        <f t="shared" si="14"/>
        <v>100</v>
      </c>
      <c r="X42" s="1122"/>
      <c r="Y42" s="3407"/>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03"/>
      <c r="Q43" s="621" t="str">
        <f t="shared" si="11"/>
        <v>内部装修</v>
      </c>
      <c r="R43" s="1118" t="s">
        <v>1358</v>
      </c>
      <c r="S43" s="1119">
        <f t="shared" si="12"/>
        <v>102</v>
      </c>
      <c r="T43" s="1118" t="s">
        <v>1358</v>
      </c>
      <c r="U43" s="1119">
        <f t="shared" si="13"/>
        <v>98</v>
      </c>
      <c r="V43" s="1118" t="s">
        <v>1358</v>
      </c>
      <c r="W43" s="1119">
        <f t="shared" si="14"/>
        <v>100</v>
      </c>
      <c r="X43" s="1113"/>
      <c r="Y43" s="3407"/>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03"/>
      <c r="Q44" s="621" t="str">
        <f t="shared" si="11"/>
        <v>内部装修维护情况</v>
      </c>
      <c r="R44" s="1118" t="s">
        <v>1358</v>
      </c>
      <c r="S44" s="1119">
        <f t="shared" si="12"/>
        <v>100</v>
      </c>
      <c r="T44" s="1118" t="s">
        <v>1358</v>
      </c>
      <c r="U44" s="1119">
        <f t="shared" si="13"/>
        <v>100</v>
      </c>
      <c r="V44" s="1118" t="s">
        <v>1358</v>
      </c>
      <c r="W44" s="1119">
        <f t="shared" si="14"/>
        <v>100</v>
      </c>
      <c r="X44" s="1113"/>
      <c r="Y44" s="3407"/>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3"/>
      <c r="Q45" s="790">
        <f t="shared" si="11"/>
        <v>111</v>
      </c>
      <c r="R45" s="1114" t="s">
        <v>1358</v>
      </c>
      <c r="S45" s="1115">
        <f t="shared" si="12"/>
        <v>100</v>
      </c>
      <c r="T45" s="1114" t="s">
        <v>1358</v>
      </c>
      <c r="U45" s="1115">
        <f t="shared" si="13"/>
        <v>100</v>
      </c>
      <c r="V45" s="1114" t="s">
        <v>1358</v>
      </c>
      <c r="W45" s="1115">
        <f t="shared" si="14"/>
        <v>100</v>
      </c>
      <c r="X45" s="1116"/>
      <c r="Y45" s="3407"/>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3"/>
      <c r="Q46" s="621">
        <f t="shared" si="11"/>
        <v>111</v>
      </c>
      <c r="R46" s="1118" t="s">
        <v>1358</v>
      </c>
      <c r="S46" s="1119">
        <f t="shared" si="12"/>
        <v>100</v>
      </c>
      <c r="T46" s="1118" t="s">
        <v>1358</v>
      </c>
      <c r="U46" s="1119">
        <f t="shared" si="13"/>
        <v>100</v>
      </c>
      <c r="V46" s="1118" t="s">
        <v>1358</v>
      </c>
      <c r="W46" s="1119">
        <f t="shared" si="14"/>
        <v>100</v>
      </c>
      <c r="X46" s="1113"/>
      <c r="Y46" s="3407"/>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4"/>
      <c r="Q47" s="621">
        <f t="shared" si="11"/>
        <v>111</v>
      </c>
      <c r="R47" s="1118" t="s">
        <v>1358</v>
      </c>
      <c r="S47" s="1119">
        <f t="shared" si="12"/>
        <v>100</v>
      </c>
      <c r="T47" s="1118" t="s">
        <v>1358</v>
      </c>
      <c r="U47" s="1119">
        <f t="shared" si="13"/>
        <v>100</v>
      </c>
      <c r="V47" s="1118" t="s">
        <v>1358</v>
      </c>
      <c r="W47" s="1119">
        <f t="shared" si="14"/>
        <v>100</v>
      </c>
      <c r="X47" s="1113"/>
      <c r="Y47" s="3408"/>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397" t="str">
        <f>A48</f>
        <v>成交单价（元/平方米）</v>
      </c>
      <c r="Q48" s="3398"/>
      <c r="R48" s="3399">
        <f>E48</f>
        <v>39809</v>
      </c>
      <c r="S48" s="3399"/>
      <c r="T48" s="3399">
        <f>G48</f>
        <v>36512</v>
      </c>
      <c r="U48" s="3399"/>
      <c r="V48" s="3399">
        <f>I48</f>
        <v>34724</v>
      </c>
      <c r="W48" s="3399"/>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397" t="str">
        <f>A49</f>
        <v>比较价值（元/平方米）</v>
      </c>
      <c r="Q49" s="3398"/>
      <c r="R49" s="3399">
        <f>IF(F1="售价",ROUND(PRODUCT(R48,AA7:AA47),0),ROUND(PRODUCT(R48,AA7:AA47),1))</f>
        <v>37892</v>
      </c>
      <c r="S49" s="3399"/>
      <c r="T49" s="3399">
        <f>IF(F1="售价",ROUND(PRODUCT(T48,AB7:AB47),0),ROUND(PRODUCT(T48,AB7:AB47),1))</f>
        <v>36172</v>
      </c>
      <c r="U49" s="3399"/>
      <c r="V49" s="3399">
        <f>IF(F1="售价",ROUND(PRODUCT(V48,AC7:AC47),0),ROUND(PRODUCT(V48,AC7:AC47),1))</f>
        <v>34755</v>
      </c>
      <c r="W49" s="3399"/>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09" t="str">
        <f>A50</f>
        <v>估价对象XX用房的比较价值（楼面单价，元/平方米）</v>
      </c>
      <c r="Q50" s="3410"/>
      <c r="R50" s="3411">
        <f>IF(F1="售价",ROUND(IF(D49="简单平均",AVERAGE(R49:V49),R49*F49+T49*H49+V49*J49),0),ROUND(IF(D49="简单平均",AVERAGE(R49:V49),R49*F49+T49*H49+V49*J49),1))</f>
        <v>36273</v>
      </c>
      <c r="S50" s="3411"/>
      <c r="T50" s="3411"/>
      <c r="U50" s="3411"/>
      <c r="V50" s="3411"/>
      <c r="W50" s="3411"/>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1" zoomScale="85" zoomScaleNormal="70" zoomScaleSheetLayoutView="85" workbookViewId="0">
      <selection activeCell="H22" sqref="H22"/>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1123.664</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31624</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399" t="s">
        <v>1349</v>
      </c>
      <c r="AC4" s="3437" t="s">
        <v>1350</v>
      </c>
    </row>
    <row r="5" spans="1:29" ht="13.95" customHeight="1">
      <c r="A5" s="922"/>
      <c r="B5" s="923"/>
      <c r="C5" s="3431" t="s">
        <v>1575</v>
      </c>
      <c r="D5" s="3388"/>
      <c r="E5" s="3514" t="s">
        <v>2853</v>
      </c>
      <c r="F5" s="3433"/>
      <c r="G5" s="3387" t="s">
        <v>2854</v>
      </c>
      <c r="H5" s="3388"/>
      <c r="I5" s="3387" t="s">
        <v>2855</v>
      </c>
      <c r="J5" s="3388"/>
      <c r="K5" s="1064"/>
      <c r="L5" s="1065"/>
      <c r="M5" s="1015"/>
      <c r="N5" s="1015"/>
      <c r="O5" s="1015"/>
      <c r="P5" s="3440"/>
      <c r="Q5" s="3421"/>
      <c r="R5" s="3426"/>
      <c r="S5" s="3427"/>
      <c r="T5" s="3426"/>
      <c r="U5" s="3427"/>
      <c r="V5" s="3399"/>
      <c r="W5" s="3399"/>
      <c r="X5" s="1113"/>
      <c r="Y5" s="3426"/>
      <c r="Z5" s="3427"/>
      <c r="AA5" s="3413"/>
      <c r="AB5" s="3399"/>
      <c r="AC5" s="3413"/>
    </row>
    <row r="6" spans="1:29" ht="14.4">
      <c r="A6" s="924"/>
      <c r="B6" s="925"/>
      <c r="C6" s="3389" t="s">
        <v>1354</v>
      </c>
      <c r="D6" s="3390"/>
      <c r="E6" s="3391" t="s">
        <v>2799</v>
      </c>
      <c r="F6" s="3392"/>
      <c r="G6" s="3389" t="s">
        <v>2799</v>
      </c>
      <c r="H6" s="3390"/>
      <c r="I6" s="3389" t="s">
        <v>2799</v>
      </c>
      <c r="J6" s="3390"/>
      <c r="K6" s="1064" t="s">
        <v>1355</v>
      </c>
      <c r="L6" s="1065"/>
      <c r="M6" s="1015"/>
      <c r="N6" s="1015"/>
      <c r="O6" s="1015"/>
      <c r="P6" s="3441"/>
      <c r="Q6" s="3423"/>
      <c r="R6" s="3426"/>
      <c r="S6" s="3427"/>
      <c r="T6" s="3428"/>
      <c r="U6" s="3429"/>
      <c r="V6" s="3399"/>
      <c r="W6" s="3399"/>
      <c r="X6" s="1113"/>
      <c r="Y6" s="3428"/>
      <c r="Z6" s="3429"/>
      <c r="AA6" s="3414"/>
      <c r="AB6" s="3399"/>
      <c r="AC6" s="3414"/>
    </row>
    <row r="7" spans="1:29" s="899" customFormat="1" ht="14.4">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395" t="s">
        <v>1357</v>
      </c>
      <c r="Q7" s="3394"/>
      <c r="R7" s="1114" t="s">
        <v>1358</v>
      </c>
      <c r="S7" s="1115">
        <f t="shared" ref="S7:S15" si="0">F7</f>
        <v>100</v>
      </c>
      <c r="T7" s="1114" t="s">
        <v>1358</v>
      </c>
      <c r="U7" s="1115">
        <f t="shared" ref="U7:U15" si="1">H7</f>
        <v>100</v>
      </c>
      <c r="V7" s="1114" t="s">
        <v>1358</v>
      </c>
      <c r="W7" s="1115">
        <f t="shared" ref="W7:W15" si="2">J7</f>
        <v>100</v>
      </c>
      <c r="X7" s="1116"/>
      <c r="Y7" s="3395" t="s">
        <v>1357</v>
      </c>
      <c r="Z7" s="3396"/>
      <c r="AA7" s="1126">
        <f>D7/F7</f>
        <v>1</v>
      </c>
      <c r="AB7" s="1126">
        <f>D7/H7</f>
        <v>1</v>
      </c>
      <c r="AC7" s="1126">
        <f>D7/J7</f>
        <v>1</v>
      </c>
    </row>
    <row r="8" spans="1:29" s="899" customFormat="1" ht="14.4">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395" t="s">
        <v>1361</v>
      </c>
      <c r="Q8" s="3396"/>
      <c r="R8" s="1114" t="s">
        <v>1358</v>
      </c>
      <c r="S8" s="1115">
        <f t="shared" si="0"/>
        <v>102</v>
      </c>
      <c r="T8" s="1114" t="s">
        <v>1358</v>
      </c>
      <c r="U8" s="1115">
        <f t="shared" si="1"/>
        <v>102</v>
      </c>
      <c r="V8" s="1114" t="s">
        <v>1358</v>
      </c>
      <c r="W8" s="1115">
        <f t="shared" si="2"/>
        <v>102</v>
      </c>
      <c r="X8" s="1116"/>
      <c r="Y8" s="3395" t="s">
        <v>1361</v>
      </c>
      <c r="Z8" s="339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397"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1277" t="s">
        <v>2858</v>
      </c>
      <c r="D10" s="942">
        <v>100</v>
      </c>
      <c r="E10" s="3530" t="s">
        <v>2857</v>
      </c>
      <c r="F10" s="940">
        <f>SUMIF(65:65,E10,66:66)-SUMIF(65:65,C10,66:66)+100</f>
        <v>97</v>
      </c>
      <c r="G10" s="3530" t="s">
        <v>2857</v>
      </c>
      <c r="H10" s="942">
        <f>SUMIF(65:65,G10,66:66)-SUMIF(65:65,C10,66:66)+100</f>
        <v>97</v>
      </c>
      <c r="I10" s="1277" t="s">
        <v>2858</v>
      </c>
      <c r="J10" s="942">
        <f>SUMIF(65:65,I10,66:66)-SUMIF(65:65,C10,66:66)+100</f>
        <v>100</v>
      </c>
      <c r="K10" s="1069"/>
      <c r="L10" s="1075"/>
      <c r="M10" s="1076"/>
      <c r="N10" s="1076"/>
      <c r="O10" s="1076"/>
      <c r="P10" s="3397"/>
      <c r="Q10" s="790" t="str">
        <f t="shared" si="6"/>
        <v>土地使用年限（年）</v>
      </c>
      <c r="R10" s="1114" t="s">
        <v>1358</v>
      </c>
      <c r="S10" s="1115">
        <f t="shared" si="0"/>
        <v>97</v>
      </c>
      <c r="T10" s="1114" t="s">
        <v>1358</v>
      </c>
      <c r="U10" s="1115">
        <f t="shared" si="1"/>
        <v>97</v>
      </c>
      <c r="V10" s="1114" t="s">
        <v>1358</v>
      </c>
      <c r="W10" s="1115">
        <f t="shared" si="2"/>
        <v>100</v>
      </c>
      <c r="X10" s="1116"/>
      <c r="Y10" s="3369"/>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397"/>
      <c r="Q11" s="790" t="str">
        <f t="shared" si="6"/>
        <v>容积率</v>
      </c>
      <c r="R11" s="1114" t="s">
        <v>1358</v>
      </c>
      <c r="S11" s="1115">
        <f t="shared" si="0"/>
        <v>100</v>
      </c>
      <c r="T11" s="1114" t="s">
        <v>1358</v>
      </c>
      <c r="U11" s="1115">
        <f t="shared" si="1"/>
        <v>100</v>
      </c>
      <c r="V11" s="1114" t="s">
        <v>1358</v>
      </c>
      <c r="W11" s="1115">
        <f t="shared" si="2"/>
        <v>100</v>
      </c>
      <c r="X11" s="1116"/>
      <c r="Y11" s="3369"/>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7"/>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7"/>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7"/>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0" t="s">
        <v>1370</v>
      </c>
      <c r="Q15" s="621" t="str">
        <f t="shared" si="6"/>
        <v>商业繁华度</v>
      </c>
      <c r="R15" s="1118" t="s">
        <v>1358</v>
      </c>
      <c r="S15" s="1119">
        <f t="shared" si="0"/>
        <v>102</v>
      </c>
      <c r="T15" s="1118" t="s">
        <v>1358</v>
      </c>
      <c r="U15" s="1119">
        <f t="shared" si="1"/>
        <v>102</v>
      </c>
      <c r="V15" s="1118" t="s">
        <v>1358</v>
      </c>
      <c r="W15" s="1119">
        <f t="shared" si="2"/>
        <v>102</v>
      </c>
      <c r="X15" s="1113"/>
      <c r="Y15" s="3405"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1"/>
      <c r="Q16" s="621"/>
      <c r="R16" s="1118"/>
      <c r="S16" s="1119"/>
      <c r="T16" s="1118"/>
      <c r="U16" s="1119"/>
      <c r="V16" s="1118"/>
      <c r="W16" s="1119"/>
      <c r="X16" s="1113"/>
      <c r="Y16" s="3406"/>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1"/>
      <c r="Q17" s="621" t="str">
        <f>B17</f>
        <v>交通便捷度</v>
      </c>
      <c r="R17" s="1118" t="s">
        <v>1358</v>
      </c>
      <c r="S17" s="1119">
        <f>F17</f>
        <v>102</v>
      </c>
      <c r="T17" s="1118" t="s">
        <v>1358</v>
      </c>
      <c r="U17" s="1119">
        <f>H17</f>
        <v>102</v>
      </c>
      <c r="V17" s="1118" t="s">
        <v>1358</v>
      </c>
      <c r="W17" s="1119">
        <f>J17</f>
        <v>102</v>
      </c>
      <c r="X17" s="1113"/>
      <c r="Y17" s="3406"/>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1"/>
      <c r="Q18" s="621"/>
      <c r="R18" s="1118"/>
      <c r="S18" s="1119"/>
      <c r="T18" s="1118"/>
      <c r="U18" s="1119"/>
      <c r="V18" s="1118"/>
      <c r="W18" s="1119"/>
      <c r="X18" s="1113"/>
      <c r="Y18" s="3406"/>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1"/>
      <c r="Q19" s="621" t="str">
        <f>B19</f>
        <v>公共配套设施</v>
      </c>
      <c r="R19" s="1118" t="s">
        <v>1358</v>
      </c>
      <c r="S19" s="1119">
        <f>F19</f>
        <v>100</v>
      </c>
      <c r="T19" s="1118" t="s">
        <v>1358</v>
      </c>
      <c r="U19" s="1119">
        <f>H19</f>
        <v>100</v>
      </c>
      <c r="V19" s="1118" t="s">
        <v>1358</v>
      </c>
      <c r="W19" s="1119">
        <f>J19</f>
        <v>100</v>
      </c>
      <c r="X19" s="1113"/>
      <c r="Y19" s="3406"/>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1"/>
      <c r="Q20" s="621"/>
      <c r="R20" s="1118"/>
      <c r="S20" s="1119"/>
      <c r="T20" s="1118"/>
      <c r="U20" s="1119"/>
      <c r="V20" s="1118"/>
      <c r="W20" s="1119"/>
      <c r="X20" s="1113"/>
      <c r="Y20" s="3406"/>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1"/>
      <c r="Q21" s="621" t="str">
        <f>B21</f>
        <v>基础设施水平</v>
      </c>
      <c r="R21" s="1118" t="s">
        <v>1358</v>
      </c>
      <c r="S21" s="1119">
        <f>F21</f>
        <v>100</v>
      </c>
      <c r="T21" s="1118" t="s">
        <v>1358</v>
      </c>
      <c r="U21" s="1119">
        <f>H21</f>
        <v>100</v>
      </c>
      <c r="V21" s="1118" t="s">
        <v>1358</v>
      </c>
      <c r="W21" s="1119">
        <f>J21</f>
        <v>100</v>
      </c>
      <c r="X21" s="1113"/>
      <c r="Y21" s="3406"/>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1"/>
      <c r="Q22" s="621"/>
      <c r="R22" s="1118"/>
      <c r="S22" s="1119"/>
      <c r="T22" s="1118"/>
      <c r="U22" s="1119"/>
      <c r="V22" s="1118"/>
      <c r="W22" s="1119"/>
      <c r="X22" s="1113"/>
      <c r="Y22" s="3406"/>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1"/>
      <c r="Q23" s="621" t="str">
        <f>B23</f>
        <v>自然及人文环境</v>
      </c>
      <c r="R23" s="1118" t="s">
        <v>1358</v>
      </c>
      <c r="S23" s="1119">
        <f>F23</f>
        <v>100</v>
      </c>
      <c r="T23" s="1118" t="s">
        <v>1358</v>
      </c>
      <c r="U23" s="1119">
        <f>H23</f>
        <v>100</v>
      </c>
      <c r="V23" s="1118" t="s">
        <v>1358</v>
      </c>
      <c r="W23" s="1119">
        <f>J23</f>
        <v>100</v>
      </c>
      <c r="X23" s="1113"/>
      <c r="Y23" s="3406"/>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1"/>
      <c r="Q24" s="621"/>
      <c r="R24" s="1118"/>
      <c r="S24" s="1119"/>
      <c r="T24" s="1118"/>
      <c r="U24" s="1119"/>
      <c r="V24" s="1118"/>
      <c r="W24" s="1119"/>
      <c r="X24" s="1113"/>
      <c r="Y24" s="3406"/>
      <c r="Z24" s="1102"/>
      <c r="AA24" s="1102">
        <v>1</v>
      </c>
      <c r="AB24" s="1102">
        <v>1</v>
      </c>
      <c r="AC24" s="1102">
        <v>1</v>
      </c>
    </row>
    <row r="25" spans="1:29" ht="15">
      <c r="A25" s="943"/>
      <c r="B25" s="940" t="s">
        <v>1606</v>
      </c>
      <c r="C25" s="976" t="s">
        <v>2844</v>
      </c>
      <c r="D25" s="755">
        <v>100</v>
      </c>
      <c r="E25" s="976" t="s">
        <v>2844</v>
      </c>
      <c r="F25" s="1097">
        <f>SUMIF(86:86,E25,87:87)-SUMIF(86:86,C25,87:87)+100</f>
        <v>100</v>
      </c>
      <c r="G25" s="976" t="s">
        <v>2844</v>
      </c>
      <c r="H25" s="755">
        <f>SUMIF(86:86,G25,87:87)-SUMIF(86:86,C25,87:87)+100</f>
        <v>100</v>
      </c>
      <c r="I25" s="976" t="s">
        <v>2844</v>
      </c>
      <c r="J25" s="755">
        <f>SUMIF(86:86,I25,87:87)-SUMIF(86:86,C25,87:87)+100</f>
        <v>100</v>
      </c>
      <c r="K25" s="1088"/>
      <c r="L25" s="1081"/>
      <c r="M25" s="1015"/>
      <c r="N25" s="1015"/>
      <c r="O25" s="1015"/>
      <c r="P25" s="3401"/>
      <c r="Q25" s="621" t="str">
        <f t="shared" ref="Q25:Q46" si="11">B25</f>
        <v>临街状况</v>
      </c>
      <c r="R25" s="1118" t="s">
        <v>1358</v>
      </c>
      <c r="S25" s="1119">
        <f>F25</f>
        <v>100</v>
      </c>
      <c r="T25" s="1118" t="s">
        <v>1358</v>
      </c>
      <c r="U25" s="1119">
        <f>H25</f>
        <v>100</v>
      </c>
      <c r="V25" s="1118" t="s">
        <v>1358</v>
      </c>
      <c r="W25" s="1119">
        <f>J25</f>
        <v>100</v>
      </c>
      <c r="X25" s="1113"/>
      <c r="Y25" s="3406"/>
      <c r="Z25" s="1102" t="str">
        <f>Q25</f>
        <v>临街状况</v>
      </c>
      <c r="AA25" s="1102">
        <f t="shared" si="3"/>
        <v>1</v>
      </c>
      <c r="AB25" s="1102">
        <f t="shared" si="4"/>
        <v>1</v>
      </c>
      <c r="AC25" s="1102">
        <f t="shared" si="5"/>
        <v>1</v>
      </c>
    </row>
    <row r="26" spans="1:29" ht="15">
      <c r="A26" s="943"/>
      <c r="B26" s="1177" t="s">
        <v>1607</v>
      </c>
      <c r="C26" s="3532" t="s">
        <v>2859</v>
      </c>
      <c r="D26" s="755">
        <v>100</v>
      </c>
      <c r="E26" s="951" t="s">
        <v>1374</v>
      </c>
      <c r="F26" s="1097">
        <f>SUMIF(88:88,E26,89:89)-SUMIF(88:88,C26,89:89)+100</f>
        <v>102</v>
      </c>
      <c r="G26" s="951" t="s">
        <v>1374</v>
      </c>
      <c r="H26" s="755">
        <f>SUMIF(88:88,G26,89:89)-SUMIF(88:88,C26,89:89)+100</f>
        <v>102</v>
      </c>
      <c r="I26" s="951" t="s">
        <v>1374</v>
      </c>
      <c r="J26" s="755">
        <f>SUMIF(88:88,I26,89:89)-SUMIF(88:88,C26,89:89)+100</f>
        <v>102</v>
      </c>
      <c r="K26" s="1087"/>
      <c r="L26" s="1081"/>
      <c r="M26" s="1015"/>
      <c r="N26" s="1015"/>
      <c r="O26" s="1015"/>
      <c r="P26" s="3401"/>
      <c r="Q26" s="621" t="str">
        <f t="shared" si="11"/>
        <v>平面位置/可视性</v>
      </c>
      <c r="R26" s="1118" t="s">
        <v>1358</v>
      </c>
      <c r="S26" s="1119">
        <f>F26</f>
        <v>102</v>
      </c>
      <c r="T26" s="1118" t="s">
        <v>1358</v>
      </c>
      <c r="U26" s="1119">
        <f>H26</f>
        <v>102</v>
      </c>
      <c r="V26" s="1118" t="s">
        <v>1358</v>
      </c>
      <c r="W26" s="1119">
        <f>J26</f>
        <v>102</v>
      </c>
      <c r="X26" s="1113"/>
      <c r="Y26" s="3406"/>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01"/>
      <c r="Q27" s="790" t="str">
        <f t="shared" si="11"/>
        <v>人流量</v>
      </c>
      <c r="R27" s="1114" t="s">
        <v>1358</v>
      </c>
      <c r="S27" s="1115">
        <f>F27</f>
        <v>100</v>
      </c>
      <c r="T27" s="1114" t="s">
        <v>1358</v>
      </c>
      <c r="U27" s="1115">
        <f>H27</f>
        <v>100</v>
      </c>
      <c r="V27" s="1114" t="s">
        <v>1358</v>
      </c>
      <c r="W27" s="1115">
        <f>J27</f>
        <v>100</v>
      </c>
      <c r="X27" s="1116"/>
      <c r="Y27" s="3406"/>
      <c r="Z27" s="1126" t="str">
        <f>Q27</f>
        <v>人流量</v>
      </c>
      <c r="AA27" s="1102">
        <f t="shared" si="3"/>
        <v>1</v>
      </c>
      <c r="AB27" s="1102">
        <f t="shared" si="4"/>
        <v>1</v>
      </c>
      <c r="AC27" s="1102">
        <f t="shared" si="5"/>
        <v>1</v>
      </c>
    </row>
    <row r="28" spans="1:29" ht="15">
      <c r="A28" s="943"/>
      <c r="B28" s="940" t="s">
        <v>1378</v>
      </c>
      <c r="C28" s="976" t="s">
        <v>2835</v>
      </c>
      <c r="D28" s="755">
        <v>100</v>
      </c>
      <c r="E28" s="976" t="s">
        <v>2835</v>
      </c>
      <c r="F28" s="1097">
        <f>SUMIF(92:92,E28,93:93)-SUMIF(92:92,C28,93:93)+100</f>
        <v>100</v>
      </c>
      <c r="G28" s="976" t="s">
        <v>2835</v>
      </c>
      <c r="H28" s="755">
        <f>SUMIF(92:92,G28,93:93)-SUMIF(92:92,C28,93:93)+100</f>
        <v>100</v>
      </c>
      <c r="I28" s="976" t="s">
        <v>2835</v>
      </c>
      <c r="J28" s="755">
        <f>SUMIF(92:92,I28,93:93)-SUMIF(92:92,C28,93:93)+100</f>
        <v>100</v>
      </c>
      <c r="K28" s="1087"/>
      <c r="L28" s="1081"/>
      <c r="M28" s="1015"/>
      <c r="N28" s="1015"/>
      <c r="O28" s="1015"/>
      <c r="P28" s="3401"/>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06"/>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1"/>
      <c r="Q29" s="621">
        <f t="shared" si="11"/>
        <v>111</v>
      </c>
      <c r="R29" s="1118" t="s">
        <v>1358</v>
      </c>
      <c r="S29" s="1119">
        <f t="shared" si="12"/>
        <v>100</v>
      </c>
      <c r="T29" s="1118" t="s">
        <v>1358</v>
      </c>
      <c r="U29" s="1119">
        <f t="shared" si="13"/>
        <v>100</v>
      </c>
      <c r="V29" s="1118" t="s">
        <v>1358</v>
      </c>
      <c r="W29" s="1119">
        <f t="shared" si="14"/>
        <v>100</v>
      </c>
      <c r="X29" s="1113"/>
      <c r="Y29" s="3406"/>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1"/>
      <c r="Q30" s="621">
        <f t="shared" si="11"/>
        <v>111</v>
      </c>
      <c r="R30" s="1118" t="s">
        <v>1358</v>
      </c>
      <c r="S30" s="1119">
        <f t="shared" si="12"/>
        <v>100</v>
      </c>
      <c r="T30" s="1118" t="s">
        <v>1358</v>
      </c>
      <c r="U30" s="1119">
        <f t="shared" si="13"/>
        <v>100</v>
      </c>
      <c r="V30" s="1118" t="s">
        <v>1358</v>
      </c>
      <c r="W30" s="1119">
        <f t="shared" si="14"/>
        <v>100</v>
      </c>
      <c r="X30" s="1113"/>
      <c r="Y30" s="3406"/>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1"/>
      <c r="Q31" s="621">
        <f t="shared" si="11"/>
        <v>111</v>
      </c>
      <c r="R31" s="1118" t="s">
        <v>1358</v>
      </c>
      <c r="S31" s="1119">
        <f t="shared" si="12"/>
        <v>100</v>
      </c>
      <c r="T31" s="1118" t="s">
        <v>1358</v>
      </c>
      <c r="U31" s="1119">
        <f t="shared" si="13"/>
        <v>100</v>
      </c>
      <c r="V31" s="1118" t="s">
        <v>1358</v>
      </c>
      <c r="W31" s="1119">
        <f t="shared" si="14"/>
        <v>100</v>
      </c>
      <c r="X31" s="1113"/>
      <c r="Y31" s="3406"/>
      <c r="Z31" s="1102">
        <f t="shared" si="15"/>
        <v>111</v>
      </c>
      <c r="AA31" s="1102">
        <f t="shared" si="3"/>
        <v>1</v>
      </c>
      <c r="AB31" s="1102">
        <f t="shared" si="4"/>
        <v>1</v>
      </c>
      <c r="AC31" s="1102">
        <f t="shared" si="5"/>
        <v>1</v>
      </c>
    </row>
    <row r="32" spans="1:29" ht="15">
      <c r="A32" s="956" t="s">
        <v>1381</v>
      </c>
      <c r="B32" s="936" t="s">
        <v>1609</v>
      </c>
      <c r="C32" s="1283" t="s">
        <v>2845</v>
      </c>
      <c r="D32" s="920">
        <v>100</v>
      </c>
      <c r="E32" s="1283" t="s">
        <v>2845</v>
      </c>
      <c r="F32" s="1097">
        <f>SUMIF(100:100,E32,101:101)-SUMIF(100:100,C32,101:101)+100</f>
        <v>100</v>
      </c>
      <c r="G32" s="1283" t="s">
        <v>2845</v>
      </c>
      <c r="H32" s="755">
        <f>SUMIF(100:100,G32,101:101)-SUMIF(100:100,C32,101:101)+100</f>
        <v>100</v>
      </c>
      <c r="I32" s="1283" t="s">
        <v>2845</v>
      </c>
      <c r="J32" s="920">
        <f>SUMIF(100:100,I32,101:101)-SUMIF(100:100,C32,101:101)+100</f>
        <v>100</v>
      </c>
      <c r="K32" s="1088"/>
      <c r="L32" s="1081"/>
      <c r="M32" s="1015"/>
      <c r="N32" s="1015"/>
      <c r="O32" s="1015"/>
      <c r="P32" s="3402" t="s">
        <v>1384</v>
      </c>
      <c r="Q32" s="621" t="str">
        <f t="shared" si="11"/>
        <v>商业类型</v>
      </c>
      <c r="R32" s="1118" t="s">
        <v>1358</v>
      </c>
      <c r="S32" s="1119">
        <f t="shared" si="12"/>
        <v>100</v>
      </c>
      <c r="T32" s="1118" t="s">
        <v>1358</v>
      </c>
      <c r="U32" s="1119">
        <f t="shared" si="13"/>
        <v>100</v>
      </c>
      <c r="V32" s="1118" t="s">
        <v>1358</v>
      </c>
      <c r="W32" s="1119">
        <f t="shared" si="14"/>
        <v>100</v>
      </c>
      <c r="X32" s="1113"/>
      <c r="Y32" s="3407"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355.32</v>
      </c>
      <c r="D33" s="942">
        <v>100</v>
      </c>
      <c r="E33" s="945">
        <v>93.81</v>
      </c>
      <c r="F33" s="940">
        <f>LOOKUP(E33,103:103,104:104)-LOOKUP(C33,103:103,104:104)+100</f>
        <v>102</v>
      </c>
      <c r="G33" s="944">
        <v>126.85</v>
      </c>
      <c r="H33" s="942">
        <f>LOOKUP(G33,103:103,104:104)-LOOKUP(C33,103:103,104:104)+100</f>
        <v>101</v>
      </c>
      <c r="I33" s="944">
        <v>105.19</v>
      </c>
      <c r="J33" s="942">
        <f>LOOKUP(I33,103:103,104:104)-LOOKUP(C33,103:103,104:104)+100</f>
        <v>101</v>
      </c>
      <c r="K33" s="1087"/>
      <c r="L33" s="1079"/>
      <c r="M33" s="1089"/>
      <c r="N33" s="1089"/>
      <c r="O33" s="1089"/>
      <c r="P33" s="3403"/>
      <c r="Q33" s="1308" t="str">
        <f t="shared" si="11"/>
        <v>项目建筑规模</v>
      </c>
      <c r="R33" s="1120" t="s">
        <v>1358</v>
      </c>
      <c r="S33" s="1121">
        <f t="shared" si="12"/>
        <v>102</v>
      </c>
      <c r="T33" s="1120" t="s">
        <v>1358</v>
      </c>
      <c r="U33" s="1121">
        <f t="shared" si="13"/>
        <v>101</v>
      </c>
      <c r="V33" s="1120" t="s">
        <v>1358</v>
      </c>
      <c r="W33" s="1121">
        <f t="shared" si="14"/>
        <v>101</v>
      </c>
      <c r="X33" s="1122"/>
      <c r="Y33" s="3407"/>
      <c r="Z33" s="1127" t="str">
        <f t="shared" si="15"/>
        <v>项目建筑规模</v>
      </c>
      <c r="AA33" s="1102">
        <f t="shared" si="3"/>
        <v>0.98039215686274506</v>
      </c>
      <c r="AB33" s="1102">
        <f t="shared" si="4"/>
        <v>0.99009900990099009</v>
      </c>
      <c r="AC33" s="1102">
        <f t="shared" si="5"/>
        <v>0.99009900990099009</v>
      </c>
    </row>
    <row r="34" spans="1:29" ht="15">
      <c r="A34" s="991"/>
      <c r="B34" s="940" t="s">
        <v>1386</v>
      </c>
      <c r="C34" s="1287" t="s">
        <v>2846</v>
      </c>
      <c r="D34" s="755">
        <v>100</v>
      </c>
      <c r="E34" s="1287" t="s">
        <v>2846</v>
      </c>
      <c r="F34" s="1097">
        <f>SUMIF(105:105,E34,106:106)-SUMIF(105:105,C34,106:106)+100</f>
        <v>100</v>
      </c>
      <c r="G34" s="1287" t="s">
        <v>2846</v>
      </c>
      <c r="H34" s="755">
        <f>SUMIF(105:105,G34,106:106)-SUMIF(105:105,C34,106:106)+100</f>
        <v>100</v>
      </c>
      <c r="I34" s="1287" t="s">
        <v>2846</v>
      </c>
      <c r="J34" s="755">
        <f>SUMIF(105:105,I34,106:106)-SUMIF(105:105,C34,106:106)+100</f>
        <v>100</v>
      </c>
      <c r="K34" s="1088"/>
      <c r="L34" s="1081"/>
      <c r="M34" s="1015"/>
      <c r="N34" s="1015"/>
      <c r="O34" s="1015"/>
      <c r="P34" s="3403"/>
      <c r="Q34" s="621" t="str">
        <f t="shared" si="11"/>
        <v>建筑结构</v>
      </c>
      <c r="R34" s="1118" t="s">
        <v>1358</v>
      </c>
      <c r="S34" s="1119">
        <f t="shared" si="12"/>
        <v>100</v>
      </c>
      <c r="T34" s="1118" t="s">
        <v>1358</v>
      </c>
      <c r="U34" s="1119">
        <f t="shared" si="13"/>
        <v>100</v>
      </c>
      <c r="V34" s="1118" t="s">
        <v>1358</v>
      </c>
      <c r="W34" s="1119">
        <f t="shared" si="14"/>
        <v>100</v>
      </c>
      <c r="X34" s="1113"/>
      <c r="Y34" s="3407"/>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3"/>
      <c r="Q35" s="621" t="str">
        <f t="shared" si="11"/>
        <v>公共部分装修</v>
      </c>
      <c r="R35" s="1118" t="s">
        <v>1358</v>
      </c>
      <c r="S35" s="1119">
        <f t="shared" si="12"/>
        <v>100</v>
      </c>
      <c r="T35" s="1118" t="s">
        <v>1358</v>
      </c>
      <c r="U35" s="1119">
        <f t="shared" si="13"/>
        <v>100</v>
      </c>
      <c r="V35" s="1118" t="s">
        <v>1358</v>
      </c>
      <c r="W35" s="1119">
        <f t="shared" si="14"/>
        <v>100</v>
      </c>
      <c r="X35" s="1113"/>
      <c r="Y35" s="3407"/>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3"/>
      <c r="Q36" s="621" t="str">
        <f t="shared" si="11"/>
        <v>成新度</v>
      </c>
      <c r="R36" s="1118" t="s">
        <v>1358</v>
      </c>
      <c r="S36" s="1119">
        <f t="shared" si="12"/>
        <v>100</v>
      </c>
      <c r="T36" s="1118" t="s">
        <v>1358</v>
      </c>
      <c r="U36" s="1119">
        <f t="shared" si="13"/>
        <v>100</v>
      </c>
      <c r="V36" s="1118" t="s">
        <v>1358</v>
      </c>
      <c r="W36" s="1119">
        <f t="shared" si="14"/>
        <v>100</v>
      </c>
      <c r="X36" s="1113"/>
      <c r="Y36" s="3407"/>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3"/>
      <c r="Q37" s="790" t="str">
        <f t="shared" si="11"/>
        <v>市政基础设施</v>
      </c>
      <c r="R37" s="1114" t="s">
        <v>1358</v>
      </c>
      <c r="S37" s="1115">
        <f t="shared" si="12"/>
        <v>100</v>
      </c>
      <c r="T37" s="1114" t="s">
        <v>1358</v>
      </c>
      <c r="U37" s="1115">
        <f t="shared" si="13"/>
        <v>100</v>
      </c>
      <c r="V37" s="1114" t="s">
        <v>1358</v>
      </c>
      <c r="W37" s="1115">
        <f t="shared" si="14"/>
        <v>100</v>
      </c>
      <c r="X37" s="1116"/>
      <c r="Y37" s="3407"/>
      <c r="Z37" s="1126" t="str">
        <f t="shared" si="15"/>
        <v>市政基础设施</v>
      </c>
      <c r="AA37" s="1126">
        <f t="shared" si="3"/>
        <v>1</v>
      </c>
      <c r="AB37" s="1126">
        <f t="shared" si="4"/>
        <v>1</v>
      </c>
      <c r="AC37" s="1126">
        <f t="shared" si="5"/>
        <v>1</v>
      </c>
    </row>
    <row r="38" spans="1:29" ht="15">
      <c r="A38" s="991"/>
      <c r="B38" s="940" t="s">
        <v>1610</v>
      </c>
      <c r="C38" s="992" t="s">
        <v>2847</v>
      </c>
      <c r="D38" s="755">
        <v>100</v>
      </c>
      <c r="E38" s="992" t="s">
        <v>2847</v>
      </c>
      <c r="F38" s="1097">
        <f>SUMIF(114:114,E38,115:115)-SUMIF(114:114,C38,115:115)+100</f>
        <v>100</v>
      </c>
      <c r="G38" s="992" t="s">
        <v>2847</v>
      </c>
      <c r="H38" s="755">
        <f>SUMIF(114:114,G38,115:115)-SUMIF(114:114,C38,115:115)+100</f>
        <v>100</v>
      </c>
      <c r="I38" s="992" t="s">
        <v>2847</v>
      </c>
      <c r="J38" s="755">
        <f>SUMIF(114:114,I38,115:115)-SUMIF(114:114,C38,115:115)+100</f>
        <v>100</v>
      </c>
      <c r="K38" s="1088"/>
      <c r="L38" s="1081"/>
      <c r="M38" s="1015"/>
      <c r="N38" s="1015"/>
      <c r="O38" s="1015"/>
      <c r="P38" s="3403" t="s">
        <v>1384</v>
      </c>
      <c r="Q38" s="621" t="str">
        <f t="shared" si="11"/>
        <v>业态</v>
      </c>
      <c r="R38" s="1118" t="s">
        <v>1358</v>
      </c>
      <c r="S38" s="1119">
        <f t="shared" si="12"/>
        <v>100</v>
      </c>
      <c r="T38" s="1118" t="s">
        <v>1358</v>
      </c>
      <c r="U38" s="1119">
        <f t="shared" si="13"/>
        <v>100</v>
      </c>
      <c r="V38" s="1118" t="s">
        <v>1358</v>
      </c>
      <c r="W38" s="1119">
        <f t="shared" si="14"/>
        <v>100</v>
      </c>
      <c r="X38" s="1113"/>
      <c r="Y38" s="3407"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03"/>
      <c r="Q39" s="621" t="str">
        <f t="shared" si="11"/>
        <v>层高</v>
      </c>
      <c r="R39" s="1118" t="s">
        <v>1358</v>
      </c>
      <c r="S39" s="1119">
        <f t="shared" si="12"/>
        <v>100</v>
      </c>
      <c r="T39" s="1118" t="s">
        <v>1358</v>
      </c>
      <c r="U39" s="1119">
        <f t="shared" si="13"/>
        <v>100</v>
      </c>
      <c r="V39" s="1118" t="s">
        <v>1358</v>
      </c>
      <c r="W39" s="1119">
        <f t="shared" si="14"/>
        <v>100</v>
      </c>
      <c r="X39" s="1113"/>
      <c r="Y39" s="3407"/>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3"/>
      <c r="Q40" s="621" t="str">
        <f t="shared" si="11"/>
        <v>单套建筑面积</v>
      </c>
      <c r="R40" s="1118" t="s">
        <v>1358</v>
      </c>
      <c r="S40" s="1119">
        <f t="shared" si="12"/>
        <v>100</v>
      </c>
      <c r="T40" s="1118" t="s">
        <v>1358</v>
      </c>
      <c r="U40" s="1119">
        <f t="shared" si="13"/>
        <v>100</v>
      </c>
      <c r="V40" s="1118" t="s">
        <v>1358</v>
      </c>
      <c r="W40" s="1119">
        <f t="shared" si="14"/>
        <v>100</v>
      </c>
      <c r="X40" s="1113"/>
      <c r="Y40" s="3407"/>
      <c r="Z40" s="1102" t="str">
        <f t="shared" si="15"/>
        <v>单套建筑面积</v>
      </c>
      <c r="AA40" s="1102">
        <f t="shared" si="3"/>
        <v>1</v>
      </c>
      <c r="AB40" s="1102">
        <f t="shared" si="4"/>
        <v>1</v>
      </c>
      <c r="AC40" s="1102">
        <f t="shared" si="5"/>
        <v>1</v>
      </c>
    </row>
    <row r="41" spans="1:29" s="901" customFormat="1" ht="15">
      <c r="A41" s="996"/>
      <c r="B41" s="1097" t="s">
        <v>1611</v>
      </c>
      <c r="C41" s="976" t="s">
        <v>2848</v>
      </c>
      <c r="D41" s="755">
        <v>100</v>
      </c>
      <c r="E41" s="976" t="s">
        <v>2848</v>
      </c>
      <c r="F41" s="1097">
        <f>SUMIF(120:120,E41,121:121)-SUMIF(120:120,C41,121:121)+100</f>
        <v>100</v>
      </c>
      <c r="G41" s="976" t="s">
        <v>2848</v>
      </c>
      <c r="H41" s="755">
        <f>SUMIF(120:120,G41,121:121)-SUMIF(120:120,C41,121:121)+100</f>
        <v>100</v>
      </c>
      <c r="I41" s="976" t="s">
        <v>2848</v>
      </c>
      <c r="J41" s="755">
        <f>SUMIF(120:120,I41,121:121)-SUMIF(120:120,C41,121:121)+100</f>
        <v>100</v>
      </c>
      <c r="K41" s="1088"/>
      <c r="L41" s="1079"/>
      <c r="M41" s="1089"/>
      <c r="N41" s="1089"/>
      <c r="O41" s="1089"/>
      <c r="P41" s="3403"/>
      <c r="Q41" s="1308" t="str">
        <f t="shared" si="11"/>
        <v>进深比</v>
      </c>
      <c r="R41" s="1120" t="s">
        <v>1358</v>
      </c>
      <c r="S41" s="1121">
        <f t="shared" si="12"/>
        <v>100</v>
      </c>
      <c r="T41" s="1120" t="s">
        <v>1358</v>
      </c>
      <c r="U41" s="1121">
        <f t="shared" si="13"/>
        <v>100</v>
      </c>
      <c r="V41" s="1120" t="s">
        <v>1358</v>
      </c>
      <c r="W41" s="1121">
        <f t="shared" si="14"/>
        <v>100</v>
      </c>
      <c r="X41" s="1122"/>
      <c r="Y41" s="3407"/>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100</v>
      </c>
      <c r="I42" s="992" t="s">
        <v>1398</v>
      </c>
      <c r="J42" s="755">
        <f>SUMIF(122:122,I42,123:123)-SUMIF(122:122,C42,123:123)+100</f>
        <v>100</v>
      </c>
      <c r="K42" s="1088"/>
      <c r="L42" s="1081"/>
      <c r="M42" s="1015"/>
      <c r="N42" s="1015"/>
      <c r="O42" s="1015"/>
      <c r="P42" s="3403"/>
      <c r="Q42" s="621" t="str">
        <f t="shared" si="11"/>
        <v>内部装修</v>
      </c>
      <c r="R42" s="1118" t="s">
        <v>1358</v>
      </c>
      <c r="S42" s="1119">
        <f t="shared" si="12"/>
        <v>100</v>
      </c>
      <c r="T42" s="1118" t="s">
        <v>1358</v>
      </c>
      <c r="U42" s="1119">
        <f t="shared" si="13"/>
        <v>100</v>
      </c>
      <c r="V42" s="1118" t="s">
        <v>1358</v>
      </c>
      <c r="W42" s="1119">
        <f t="shared" si="14"/>
        <v>100</v>
      </c>
      <c r="X42" s="1113"/>
      <c r="Y42" s="3407"/>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03"/>
      <c r="Q43" s="621" t="str">
        <f t="shared" si="11"/>
        <v>内部装修维护情况</v>
      </c>
      <c r="R43" s="1118" t="s">
        <v>1358</v>
      </c>
      <c r="S43" s="1119">
        <f t="shared" si="12"/>
        <v>100</v>
      </c>
      <c r="T43" s="1118" t="s">
        <v>1358</v>
      </c>
      <c r="U43" s="1119">
        <f t="shared" si="13"/>
        <v>100</v>
      </c>
      <c r="V43" s="1118" t="s">
        <v>1358</v>
      </c>
      <c r="W43" s="1119">
        <f t="shared" si="14"/>
        <v>100</v>
      </c>
      <c r="X43" s="1113"/>
      <c r="Y43" s="3407"/>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3"/>
      <c r="Q44" s="790">
        <f t="shared" si="11"/>
        <v>111</v>
      </c>
      <c r="R44" s="1114" t="s">
        <v>1358</v>
      </c>
      <c r="S44" s="1115">
        <f t="shared" si="12"/>
        <v>100</v>
      </c>
      <c r="T44" s="1114" t="s">
        <v>1358</v>
      </c>
      <c r="U44" s="1115">
        <f t="shared" si="13"/>
        <v>100</v>
      </c>
      <c r="V44" s="1114" t="s">
        <v>1358</v>
      </c>
      <c r="W44" s="1115">
        <f t="shared" si="14"/>
        <v>100</v>
      </c>
      <c r="X44" s="1116"/>
      <c r="Y44" s="3407"/>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3"/>
      <c r="Q45" s="621">
        <f t="shared" si="11"/>
        <v>111</v>
      </c>
      <c r="R45" s="1118" t="s">
        <v>1358</v>
      </c>
      <c r="S45" s="1119">
        <f t="shared" si="12"/>
        <v>100</v>
      </c>
      <c r="T45" s="1118" t="s">
        <v>1358</v>
      </c>
      <c r="U45" s="1119">
        <f t="shared" si="13"/>
        <v>100</v>
      </c>
      <c r="V45" s="1118" t="s">
        <v>1358</v>
      </c>
      <c r="W45" s="1119">
        <f t="shared" si="14"/>
        <v>100</v>
      </c>
      <c r="X45" s="1113"/>
      <c r="Y45" s="3407"/>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4"/>
      <c r="Q46" s="621">
        <f t="shared" si="11"/>
        <v>111</v>
      </c>
      <c r="R46" s="1118" t="s">
        <v>1358</v>
      </c>
      <c r="S46" s="1119">
        <f t="shared" si="12"/>
        <v>100</v>
      </c>
      <c r="T46" s="1118" t="s">
        <v>1358</v>
      </c>
      <c r="U46" s="1119">
        <f t="shared" si="13"/>
        <v>100</v>
      </c>
      <c r="V46" s="1118" t="s">
        <v>1358</v>
      </c>
      <c r="W46" s="1119">
        <f t="shared" si="14"/>
        <v>100</v>
      </c>
      <c r="X46" s="1113"/>
      <c r="Y46" s="3408"/>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398" t="str">
        <f>A47</f>
        <v>成交单价（元/平方米）</v>
      </c>
      <c r="Q47" s="3398"/>
      <c r="R47" s="3399">
        <f>E47</f>
        <v>33579</v>
      </c>
      <c r="S47" s="3399"/>
      <c r="T47" s="3399">
        <f>G47</f>
        <v>35081</v>
      </c>
      <c r="U47" s="3399"/>
      <c r="V47" s="3399">
        <f>I47</f>
        <v>33274</v>
      </c>
      <c r="W47" s="3399"/>
      <c r="X47" s="1055"/>
      <c r="Y47" s="1128"/>
      <c r="Z47" s="1055"/>
      <c r="AA47" s="1055"/>
      <c r="AB47" s="1055"/>
      <c r="AC47" s="1055"/>
    </row>
    <row r="48" spans="1:29" ht="14.4">
      <c r="A48" s="1006" t="s">
        <v>1401</v>
      </c>
      <c r="B48" s="1293"/>
      <c r="C48" s="1294">
        <f>R49</f>
        <v>31624</v>
      </c>
      <c r="D48" s="1009" t="s">
        <v>1402</v>
      </c>
      <c r="E48" s="1295">
        <f>R48</f>
        <v>31354</v>
      </c>
      <c r="F48" s="1010"/>
      <c r="G48" s="1294">
        <f>T48</f>
        <v>33081</v>
      </c>
      <c r="H48" s="1010"/>
      <c r="I48" s="1295">
        <f>V48</f>
        <v>30436</v>
      </c>
      <c r="J48" s="1010"/>
      <c r="K48" s="1095">
        <f>F48+H48+J48</f>
        <v>0</v>
      </c>
      <c r="L48" s="1094"/>
      <c r="M48" s="1015"/>
      <c r="N48" s="1015"/>
      <c r="O48" s="1015"/>
      <c r="P48" s="3398" t="str">
        <f>A48</f>
        <v>比较价值（元/平方米）</v>
      </c>
      <c r="Q48" s="3398"/>
      <c r="R48" s="3399">
        <f>IF(F1="售价",ROUND(PRODUCT(R47,AA7:AA46),0),ROUND(PRODUCT(R47,AA7:AA46),1))</f>
        <v>31354</v>
      </c>
      <c r="S48" s="3399"/>
      <c r="T48" s="3399">
        <f>IF(F1="售价",ROUND(PRODUCT(T47,AB7:AB46),0),ROUND(PRODUCT(T47,AB7:AB46),1))</f>
        <v>33081</v>
      </c>
      <c r="U48" s="3399"/>
      <c r="V48" s="3399">
        <f>IF(F1="售价",ROUND(PRODUCT(V47,AC7:AC46),0),ROUND(PRODUCT(V47,AC7:AC46),1))</f>
        <v>30436</v>
      </c>
      <c r="W48" s="3399"/>
      <c r="X48" s="1055"/>
      <c r="Y48" s="1055"/>
      <c r="Z48" s="1055"/>
      <c r="AA48" s="1055"/>
      <c r="AB48" s="1055"/>
      <c r="AC48" s="1055"/>
    </row>
    <row r="49" spans="1:29" ht="14.4">
      <c r="A49" s="1012" t="s">
        <v>1403</v>
      </c>
      <c r="B49" s="1013"/>
      <c r="C49" s="925">
        <f>R49</f>
        <v>31624</v>
      </c>
      <c r="D49" s="925"/>
      <c r="E49" s="925"/>
      <c r="F49" s="925"/>
      <c r="G49" s="925"/>
      <c r="H49" s="925"/>
      <c r="I49" s="925"/>
      <c r="J49" s="925"/>
      <c r="K49" s="1096"/>
      <c r="L49" s="1094"/>
      <c r="M49" s="1015"/>
      <c r="N49" s="1015"/>
      <c r="O49" s="1015"/>
      <c r="P49" s="3434" t="str">
        <f>A49</f>
        <v>估价对象XX用房的比较价值（楼面单价，元/平方米）</v>
      </c>
      <c r="Q49" s="3435"/>
      <c r="R49" s="3436">
        <f>IF(F1="售价",ROUND(IF(D48="简单平均",AVERAGE(R48:V48),R48*F48+T48*H48+V48*J48),0),ROUND(IF(D48="简单平均",AVERAGE(R48:V48),R48*F48+T48*H48+V48*J48),1))</f>
        <v>31624</v>
      </c>
      <c r="S49" s="3436"/>
      <c r="T49" s="3436"/>
      <c r="U49" s="3436"/>
      <c r="V49" s="3436"/>
      <c r="W49" s="343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7.0963832365886326E-2</v>
      </c>
      <c r="F52" s="1019" t="str">
        <f>IF(OR(E52&gt;=0.3,E52&lt;=-0.3),"超过30%","")</f>
        <v/>
      </c>
      <c r="G52" s="1018">
        <f>IF(G47&lt;G48,G48/G47-1,G47/G48-1)</f>
        <v>6.0457664520419563E-2</v>
      </c>
      <c r="H52" s="1019" t="str">
        <f>IF(OR(G52&gt;=0.3,G52&lt;=-0.3),"超过30%","")</f>
        <v/>
      </c>
      <c r="I52" s="1018">
        <f>IF(I47&lt;I48,I48/I47-1,I47/I48-1)</f>
        <v>9.3244841634906095E-2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5.5080691458825104E-2</v>
      </c>
      <c r="F53" s="1019" t="str">
        <f>IF(OR(E53&gt;=0.2,E53&lt;=-0.2),"超过20%","")</f>
        <v/>
      </c>
      <c r="G53" s="1018">
        <f>IF(G48&lt;I48,I48/G48-1,G48/I48-1)</f>
        <v>8.6903666710474337E-2</v>
      </c>
      <c r="H53" s="1019" t="str">
        <f>IF(OR(G53&gt;=0.2,G53&lt;=-0.2),"超过20%","")</f>
        <v/>
      </c>
      <c r="I53" s="1018">
        <f>IF(I48&lt;E48,E48/I48-1,I48/E48-1)</f>
        <v>3.0161650676830076E-2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2858</v>
      </c>
      <c r="D65" s="3531" t="s">
        <v>2857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2802</v>
      </c>
      <c r="D86" s="2106" t="s">
        <v>2803</v>
      </c>
      <c r="E86" s="2106" t="s">
        <v>2804</v>
      </c>
      <c r="F86" s="2106" t="s">
        <v>2805</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2806</v>
      </c>
      <c r="D88" s="2106" t="s">
        <v>2807</v>
      </c>
      <c r="E88" s="2106" t="s">
        <v>2808</v>
      </c>
      <c r="F88" s="3180" t="s">
        <v>2809</v>
      </c>
      <c r="G88" s="2106" t="s">
        <v>2810</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2811</v>
      </c>
      <c r="D90" s="2106" t="s">
        <v>2812</v>
      </c>
      <c r="E90" s="2106" t="s">
        <v>2808</v>
      </c>
      <c r="F90" s="2106" t="s">
        <v>2813</v>
      </c>
      <c r="G90" s="2106" t="s">
        <v>2814</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1"/>
      <c r="O91" s="3109" t="s">
        <v>2833</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2852</v>
      </c>
      <c r="D92" s="1156"/>
      <c r="E92" s="1156"/>
      <c r="F92" s="1156"/>
      <c r="G92" s="1156"/>
      <c r="H92" s="1156"/>
      <c r="I92" s="1156"/>
      <c r="J92" s="1156"/>
      <c r="K92" s="1156"/>
      <c r="L92" s="1313"/>
      <c r="M92" s="1314"/>
      <c r="N92" s="3109" t="s">
        <v>2834</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2835</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2836</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2837</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2838</v>
      </c>
      <c r="O96" s="3181">
        <v>0.5</v>
      </c>
      <c r="P96" s="3181"/>
      <c r="Q96" s="901"/>
      <c r="R96" s="3182" t="s">
        <v>2843</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2839</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2840</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2841</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2815</v>
      </c>
      <c r="D100" s="2107" t="s">
        <v>2816</v>
      </c>
      <c r="E100" s="1091"/>
      <c r="F100" s="1091"/>
      <c r="G100" s="1091"/>
      <c r="H100" s="1091"/>
      <c r="I100" s="1091"/>
      <c r="J100" s="1091"/>
      <c r="K100" s="1184"/>
      <c r="L100" s="1185"/>
      <c r="M100" s="1186"/>
      <c r="N100" s="3109" t="s">
        <v>2842</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27.6">
      <c r="A102" s="943"/>
      <c r="B102" s="1148" t="s">
        <v>1385</v>
      </c>
      <c r="C102" s="1166" t="str">
        <f>C103&amp;"(含)"&amp;"-"&amp;D103</f>
        <v>0(含)-100</v>
      </c>
      <c r="D102" s="1166" t="str">
        <f t="shared" ref="D102:L102" si="24">D103&amp;"(含)"&amp;"-"&amp;E103</f>
        <v>100(含)-300</v>
      </c>
      <c r="E102" s="1166" t="str">
        <f t="shared" si="24"/>
        <v>300(含)-500</v>
      </c>
      <c r="F102" s="1166" t="str">
        <f t="shared" si="24"/>
        <v>500(含)-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100</v>
      </c>
      <c r="E103" s="1134">
        <v>300</v>
      </c>
      <c r="F103" s="1134">
        <v>500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v>99</v>
      </c>
      <c r="E104" s="1147">
        <v>98</v>
      </c>
      <c r="F104" s="1147">
        <v>97</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2817</v>
      </c>
      <c r="D105" s="2106" t="s">
        <v>2818</v>
      </c>
      <c r="E105" s="2108" t="s">
        <v>2819</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5">C106-$K34</f>
        <v>100</v>
      </c>
      <c r="E106" s="1151">
        <f t="shared" si="25"/>
        <v>100</v>
      </c>
      <c r="F106" s="1151">
        <f t="shared" si="25"/>
        <v>100</v>
      </c>
      <c r="G106" s="1151">
        <f t="shared" si="25"/>
        <v>100</v>
      </c>
      <c r="H106" s="1151">
        <f t="shared" si="25"/>
        <v>100</v>
      </c>
      <c r="I106" s="1151">
        <f t="shared" si="25"/>
        <v>100</v>
      </c>
      <c r="J106" s="1151">
        <f t="shared" si="25"/>
        <v>100</v>
      </c>
      <c r="K106" s="1151">
        <f t="shared" si="25"/>
        <v>100</v>
      </c>
      <c r="L106" s="1151">
        <f t="shared" si="25"/>
        <v>100</v>
      </c>
      <c r="M106" s="1193">
        <f t="shared" si="25"/>
        <v>100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2820</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6">C108-$K35</f>
        <v>100</v>
      </c>
      <c r="E108" s="1151">
        <f t="shared" si="26"/>
        <v>100</v>
      </c>
      <c r="F108" s="1151">
        <f t="shared" si="26"/>
        <v>100</v>
      </c>
      <c r="G108" s="1151">
        <f t="shared" si="26"/>
        <v>100</v>
      </c>
      <c r="H108" s="1151">
        <f t="shared" si="26"/>
        <v>100</v>
      </c>
      <c r="I108" s="1151">
        <f t="shared" si="26"/>
        <v>100</v>
      </c>
      <c r="J108" s="1151">
        <f t="shared" si="26"/>
        <v>100</v>
      </c>
      <c r="K108" s="1151">
        <f t="shared" si="26"/>
        <v>100</v>
      </c>
      <c r="L108" s="1151">
        <f t="shared" si="26"/>
        <v>100</v>
      </c>
      <c r="M108" s="1193">
        <f t="shared" si="26"/>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7">D111+$K36</f>
        <v>100</v>
      </c>
      <c r="F111" s="1151">
        <f t="shared" si="27"/>
        <v>100</v>
      </c>
      <c r="G111" s="1151">
        <f t="shared" si="27"/>
        <v>100</v>
      </c>
      <c r="H111" s="1151">
        <f t="shared" si="27"/>
        <v>100</v>
      </c>
      <c r="I111" s="1151">
        <f t="shared" si="27"/>
        <v>100</v>
      </c>
      <c r="J111" s="1151">
        <f t="shared" si="27"/>
        <v>100</v>
      </c>
      <c r="K111" s="1151">
        <f t="shared" si="27"/>
        <v>100</v>
      </c>
      <c r="L111" s="1151">
        <f t="shared" si="27"/>
        <v>100</v>
      </c>
      <c r="M111" s="1151">
        <f t="shared" si="27"/>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2821</v>
      </c>
      <c r="D112" s="2106" t="s">
        <v>2822</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8">D113-$K37</f>
        <v>100</v>
      </c>
      <c r="F113" s="1151">
        <f t="shared" si="28"/>
        <v>100</v>
      </c>
      <c r="G113" s="1151">
        <f t="shared" si="28"/>
        <v>100</v>
      </c>
      <c r="H113" s="1151">
        <f t="shared" si="28"/>
        <v>100</v>
      </c>
      <c r="I113" s="1151">
        <f t="shared" si="28"/>
        <v>100</v>
      </c>
      <c r="J113" s="1151">
        <f t="shared" si="28"/>
        <v>100</v>
      </c>
      <c r="K113" s="1151">
        <f t="shared" si="28"/>
        <v>100</v>
      </c>
      <c r="L113" s="1151">
        <f t="shared" si="28"/>
        <v>100</v>
      </c>
      <c r="M113" s="1151">
        <f t="shared" si="28"/>
        <v>100</v>
      </c>
      <c r="V113" s="1089"/>
      <c r="W113" s="1089"/>
      <c r="X113" s="1089"/>
      <c r="Y113" s="1089"/>
      <c r="Z113" s="1089"/>
      <c r="AA113" s="1089"/>
      <c r="AB113" s="1089"/>
      <c r="AC113" s="1089"/>
    </row>
    <row r="114" spans="1:29" ht="14.4">
      <c r="A114" s="991"/>
      <c r="B114" s="1148" t="s">
        <v>1610</v>
      </c>
      <c r="C114" s="2106" t="s">
        <v>2823</v>
      </c>
      <c r="D114" s="2106" t="s">
        <v>2824</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29">C115-$K38</f>
        <v>100</v>
      </c>
      <c r="E115" s="1151">
        <f t="shared" si="29"/>
        <v>100</v>
      </c>
      <c r="F115" s="1151">
        <f t="shared" si="29"/>
        <v>100</v>
      </c>
      <c r="G115" s="1151">
        <f t="shared" si="29"/>
        <v>100</v>
      </c>
      <c r="H115" s="1151">
        <f t="shared" si="29"/>
        <v>100</v>
      </c>
      <c r="I115" s="1151">
        <f t="shared" si="29"/>
        <v>100</v>
      </c>
      <c r="J115" s="1151">
        <f t="shared" si="29"/>
        <v>100</v>
      </c>
      <c r="K115" s="1151">
        <f t="shared" si="29"/>
        <v>100</v>
      </c>
      <c r="L115" s="1151">
        <f t="shared" si="29"/>
        <v>100</v>
      </c>
      <c r="M115" s="1193">
        <f t="shared" si="29"/>
        <v>100</v>
      </c>
      <c r="V115" s="1015"/>
      <c r="W115" s="1015"/>
      <c r="X115" s="1015"/>
      <c r="Y115" s="1015"/>
      <c r="Z115" s="1015"/>
      <c r="AA115" s="1015"/>
      <c r="AB115" s="1015"/>
      <c r="AC115" s="1015"/>
    </row>
    <row r="116" spans="1:29" ht="14.4">
      <c r="A116" s="991"/>
      <c r="B116" s="1148" t="s">
        <v>1394</v>
      </c>
      <c r="C116" s="2106" t="s">
        <v>2825</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2826</v>
      </c>
      <c r="D120" s="2108" t="s">
        <v>2827</v>
      </c>
      <c r="E120" s="2108" t="s">
        <v>2808</v>
      </c>
      <c r="F120" s="2108" t="s">
        <v>2828</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100</v>
      </c>
      <c r="E121" s="1151">
        <f t="shared" ref="E121:M121" si="30">D121-$K41</f>
        <v>100</v>
      </c>
      <c r="F121" s="1151">
        <f t="shared" si="30"/>
        <v>100</v>
      </c>
      <c r="G121" s="1151">
        <f t="shared" si="30"/>
        <v>100</v>
      </c>
      <c r="H121" s="1151">
        <f t="shared" si="30"/>
        <v>100</v>
      </c>
      <c r="I121" s="1151">
        <f t="shared" si="30"/>
        <v>100</v>
      </c>
      <c r="J121" s="1151">
        <f t="shared" si="30"/>
        <v>100</v>
      </c>
      <c r="K121" s="1151">
        <f t="shared" si="30"/>
        <v>100</v>
      </c>
      <c r="L121" s="1151">
        <f t="shared" si="30"/>
        <v>100</v>
      </c>
      <c r="M121" s="1193">
        <f t="shared" si="30"/>
        <v>100</v>
      </c>
      <c r="V121" s="1089"/>
      <c r="W121" s="1089"/>
      <c r="X121" s="1089"/>
      <c r="Y121" s="1089"/>
      <c r="Z121" s="1089"/>
      <c r="AA121" s="1089"/>
      <c r="AB121" s="1089"/>
      <c r="AC121" s="1089"/>
    </row>
    <row r="122" spans="1:29" ht="14.4">
      <c r="A122" s="991"/>
      <c r="B122" s="1148" t="s">
        <v>1397</v>
      </c>
      <c r="C122" s="2106" t="s">
        <v>2829</v>
      </c>
      <c r="D122" s="2106" t="s">
        <v>2830</v>
      </c>
      <c r="E122" s="2106" t="s">
        <v>2831</v>
      </c>
      <c r="F122" s="2108" t="s">
        <v>2832</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1">C123-$K42</f>
        <v>100</v>
      </c>
      <c r="E123" s="1151">
        <f t="shared" si="31"/>
        <v>100</v>
      </c>
      <c r="F123" s="1151">
        <f t="shared" si="31"/>
        <v>100</v>
      </c>
      <c r="G123" s="1151">
        <f t="shared" si="31"/>
        <v>100</v>
      </c>
      <c r="H123" s="1151">
        <f t="shared" si="31"/>
        <v>100</v>
      </c>
      <c r="I123" s="1151">
        <f t="shared" si="31"/>
        <v>100</v>
      </c>
      <c r="J123" s="1151">
        <f t="shared" si="31"/>
        <v>100</v>
      </c>
      <c r="K123" s="1151">
        <f t="shared" si="31"/>
        <v>100</v>
      </c>
      <c r="L123" s="1151">
        <f t="shared" si="31"/>
        <v>100</v>
      </c>
      <c r="M123" s="1193">
        <f t="shared" si="31"/>
        <v>100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70" zoomScaleNormal="70" workbookViewId="0">
      <selection activeCell="H22" sqref="H2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897.79499999999996</v>
      </c>
      <c r="C2" s="1833" t="s">
        <v>1149</v>
      </c>
      <c r="D2" s="1834">
        <f ca="1">C40+J29+L46</f>
        <v>8977950</v>
      </c>
      <c r="E2" s="1835" t="s">
        <v>1438</v>
      </c>
      <c r="F2" s="1836"/>
      <c r="G2" s="1837"/>
      <c r="H2" s="1838"/>
      <c r="I2" s="1838"/>
      <c r="J2" s="1838"/>
      <c r="K2" s="1993"/>
      <c r="L2" s="1838"/>
      <c r="M2" s="1838"/>
    </row>
    <row r="3" spans="1:37" ht="18" customHeight="1">
      <c r="A3" s="1839" t="s">
        <v>1150</v>
      </c>
      <c r="B3" s="1840">
        <f ca="1">IF(ISERROR(D2/F43),0,ROUND(D2/F43,0))</f>
        <v>25267</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560969</v>
      </c>
      <c r="D5" s="1849" t="s">
        <v>1159</v>
      </c>
      <c r="E5" s="1850"/>
      <c r="F5" s="1851"/>
      <c r="G5" s="714"/>
      <c r="H5" s="1846">
        <v>1</v>
      </c>
      <c r="I5" s="1847" t="s">
        <v>1158</v>
      </c>
      <c r="J5" s="1848">
        <f ca="1">J6+J10+J12</f>
        <v>0</v>
      </c>
      <c r="K5" s="1849" t="s">
        <v>1159</v>
      </c>
      <c r="L5" s="1850"/>
      <c r="M5" s="1851"/>
    </row>
    <row r="6" spans="1:37" ht="18" customHeight="1">
      <c r="A6" s="1852" t="s">
        <v>905</v>
      </c>
      <c r="B6" s="3380" t="s">
        <v>1160</v>
      </c>
      <c r="C6" s="1853">
        <f ca="1">ROUND(F6*F8*F7*(1-F9),0)</f>
        <v>560269</v>
      </c>
      <c r="D6" s="1854" t="s">
        <v>1439</v>
      </c>
      <c r="E6" s="1855" t="s">
        <v>1162</v>
      </c>
      <c r="F6" s="1856">
        <f ca="1">INDIRECT("'数据-取费表'!u"&amp;$G$1)</f>
        <v>4.8</v>
      </c>
      <c r="G6" s="714"/>
      <c r="H6" s="1852" t="s">
        <v>905</v>
      </c>
      <c r="I6" s="3380" t="s">
        <v>1160</v>
      </c>
      <c r="J6" s="1926">
        <f ca="1">ROUND(M6*M8*M7*(1-M9),0)</f>
        <v>0</v>
      </c>
      <c r="K6" s="1996" t="s">
        <v>1440</v>
      </c>
      <c r="L6" s="1855" t="s">
        <v>1162</v>
      </c>
      <c r="M6" s="1856">
        <f ca="1">INDIRECT("'数据-取费表'!z"&amp;$G$1)</f>
        <v>0</v>
      </c>
    </row>
    <row r="7" spans="1:37" ht="18" customHeight="1">
      <c r="A7" s="1857"/>
      <c r="B7" s="3381"/>
      <c r="C7" s="1858"/>
      <c r="D7" s="1859"/>
      <c r="E7" s="1860" t="s">
        <v>1164</v>
      </c>
      <c r="F7" s="1856">
        <f ca="1">IF(INDIRECT("'数据-取费表'!ah"&amp;$G$1)="",INDIRECT("'数据-取费表'!k"&amp;$G$1),INDIRECT("'数据-取费表'!ah"&amp;$G$1))</f>
        <v>355.32</v>
      </c>
      <c r="G7" s="714"/>
      <c r="H7" s="1861"/>
      <c r="I7" s="3381"/>
      <c r="J7" s="1862"/>
      <c r="K7" s="1859"/>
      <c r="L7" s="1855" t="s">
        <v>1164</v>
      </c>
      <c r="M7" s="1856">
        <f ca="1">F7</f>
        <v>355.32</v>
      </c>
    </row>
    <row r="8" spans="1:37" ht="18" customHeight="1">
      <c r="A8" s="1861"/>
      <c r="B8" s="3381"/>
      <c r="C8" s="1862"/>
      <c r="D8" s="1859"/>
      <c r="E8" s="1855" t="s">
        <v>1165</v>
      </c>
      <c r="F8" s="1856">
        <f ca="1">INDIRECT("'数据-取费表'!ai"&amp;$G$1)</f>
        <v>365</v>
      </c>
      <c r="G8" s="714"/>
      <c r="H8" s="1861"/>
      <c r="I8" s="3381"/>
      <c r="J8" s="1862"/>
      <c r="K8" s="1859"/>
      <c r="L8" s="1855" t="s">
        <v>1165</v>
      </c>
      <c r="M8" s="1856">
        <f ca="1">INDIRECT("'数据-取费表'!ai"&amp;$G$1)</f>
        <v>365</v>
      </c>
    </row>
    <row r="9" spans="1:37" ht="18" customHeight="1">
      <c r="A9" s="1861"/>
      <c r="B9" s="3382"/>
      <c r="C9" s="1862"/>
      <c r="D9" s="1859"/>
      <c r="E9" s="1855" t="s">
        <v>1166</v>
      </c>
      <c r="F9" s="1863">
        <f ca="1">INDIRECT("'数据-取费表'!w"&amp;$G$1)</f>
        <v>0.1</v>
      </c>
      <c r="G9" s="714"/>
      <c r="H9" s="1861"/>
      <c r="I9" s="3382"/>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700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6221</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6221</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-6221</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50903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37351</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6221</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5610</v>
      </c>
      <c r="D38" s="1901" t="s">
        <v>1216</v>
      </c>
      <c r="E38" s="1877" t="s">
        <v>1180</v>
      </c>
      <c r="F38" s="1878">
        <f ca="1">INDIRECT("'数据-取费表'!Am"&amp;$G$1)</f>
        <v>0.01</v>
      </c>
      <c r="G38" s="714"/>
      <c r="H38" s="1912"/>
      <c r="I38" s="2012"/>
      <c r="J38" s="2013"/>
      <c r="K38" s="2014"/>
      <c r="L38" s="1912"/>
      <c r="M38" s="1912"/>
    </row>
    <row r="39" spans="1:18" ht="24.6" customHeight="1">
      <c r="A39" s="1879" t="s">
        <v>1219</v>
      </c>
      <c r="B39" s="1922" t="s">
        <v>1220</v>
      </c>
      <c r="C39" s="1881">
        <f ca="1">C5-C30</f>
        <v>510066</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8866796</v>
      </c>
      <c r="D40" s="1914" t="s">
        <v>1227</v>
      </c>
      <c r="E40" s="1855" t="s">
        <v>1228</v>
      </c>
      <c r="F40" s="1863">
        <f ca="1">INDIRECT("'数据-取费表'!I"&amp;$G$1)</f>
        <v>5.5E-2</v>
      </c>
      <c r="G40" s="714"/>
      <c r="H40" s="1927">
        <f ca="1">C39/C5</f>
        <v>0.90925880039716989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24954</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-897.85839999999996</v>
      </c>
      <c r="D45" s="1941" t="s">
        <v>1446</v>
      </c>
      <c r="E45" s="1937"/>
      <c r="F45" s="1937"/>
      <c r="O45" s="2021" t="s">
        <v>1246</v>
      </c>
      <c r="P45" s="1927"/>
      <c r="Q45" s="1927"/>
      <c r="R45" s="1927"/>
    </row>
    <row r="46" spans="1:18" s="714" customFormat="1">
      <c r="A46" s="1942" t="s">
        <v>1247</v>
      </c>
      <c r="C46" s="1943">
        <f ca="1">ROUND(C45,0)</f>
        <v>-898</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8866796</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7112409</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78" t="s">
        <v>1284</v>
      </c>
      <c r="L53" s="3379"/>
      <c r="O53" s="2033" t="s">
        <v>1109</v>
      </c>
      <c r="P53" s="2034" t="s">
        <v>1285</v>
      </c>
      <c r="Q53" s="2070">
        <f ca="1">Q47+Q48</f>
        <v>8977950</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8866796</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7942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8866796</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6221</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8866796</v>
      </c>
      <c r="R65" s="2070" t="s">
        <v>1256</v>
      </c>
    </row>
    <row r="66" spans="1:18" s="714" customFormat="1" ht="15.6">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
      <c r="A67" s="1972" t="s">
        <v>1219</v>
      </c>
      <c r="B67" s="2072" t="s">
        <v>1220</v>
      </c>
      <c r="C67" s="1468">
        <f ca="1">C48-C58</f>
        <v>-7942</v>
      </c>
      <c r="D67" s="1984" t="s">
        <v>1221</v>
      </c>
      <c r="E67" s="2073"/>
      <c r="F67" s="2074"/>
      <c r="O67" s="2041" t="s">
        <v>1267</v>
      </c>
      <c r="P67" s="2034" t="s">
        <v>1298</v>
      </c>
      <c r="Q67" s="2094">
        <f ca="1">L51</f>
        <v>7112409</v>
      </c>
      <c r="R67" s="2070" t="s">
        <v>1315</v>
      </c>
    </row>
    <row r="68" spans="1:18" s="714" customFormat="1" ht="15.6">
      <c r="A68" s="2075" t="s">
        <v>1225</v>
      </c>
      <c r="B68" s="2076" t="s">
        <v>1242</v>
      </c>
      <c r="C68" s="1926">
        <f ca="1">ROUND(C67*(1-((1+F70)/(1+F68))^F69)/(F68-F70),0)</f>
        <v>-111788</v>
      </c>
      <c r="D68" s="1987" t="s">
        <v>1227</v>
      </c>
      <c r="E68" s="1977" t="s">
        <v>1228</v>
      </c>
      <c r="F68" s="1863">
        <f ca="1">F40</f>
        <v>5.5E-2</v>
      </c>
      <c r="O68" s="2041" t="s">
        <v>1271</v>
      </c>
      <c r="P68" s="2093" t="s">
        <v>1316</v>
      </c>
      <c r="Q68" s="2070">
        <f ca="1">ROUND(Q69-Q70*Q71,0)</f>
        <v>389595</v>
      </c>
      <c r="R68" s="2070" t="s">
        <v>1317</v>
      </c>
    </row>
    <row r="69" spans="1:18" s="714" customFormat="1">
      <c r="A69" s="2077"/>
      <c r="B69" s="2078"/>
      <c r="C69" s="1862"/>
      <c r="D69" s="2079" t="s">
        <v>1231</v>
      </c>
      <c r="E69" s="1977" t="s">
        <v>1232</v>
      </c>
      <c r="F69" s="1930">
        <f ca="1">F41</f>
        <v>27.79</v>
      </c>
      <c r="O69" s="2041" t="s">
        <v>1318</v>
      </c>
      <c r="P69" s="2093" t="s">
        <v>1319</v>
      </c>
      <c r="Q69" s="2070">
        <f ca="1">C39</f>
        <v>510066</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-315</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8866796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0.76400000000000001</v>
      </c>
    </row>
    <row r="80" spans="1:18">
      <c r="B80" s="2087" t="s">
        <v>1331</v>
      </c>
      <c r="C80" s="421">
        <f ca="1">ROUND(C75/C39,3)</f>
        <v>0.23599999999999999</v>
      </c>
    </row>
    <row r="81" spans="2:3">
      <c r="B81" s="418" t="s">
        <v>1332</v>
      </c>
      <c r="C81" s="388"/>
    </row>
    <row r="82" spans="2:3">
      <c r="B82" s="420" t="s">
        <v>1091</v>
      </c>
      <c r="C82" s="422">
        <f ca="1">1-C83</f>
        <v>0.80600000000000005</v>
      </c>
    </row>
    <row r="83" spans="2:3">
      <c r="B83" s="420" t="s">
        <v>1092</v>
      </c>
      <c r="C83" s="421">
        <f ca="1">ROUND(C13/C40,3)</f>
        <v>0.19400000000000001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44" t="s">
        <v>1456</v>
      </c>
      <c r="K2" s="3445"/>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46" t="s">
        <v>1464</v>
      </c>
      <c r="K3" s="3447"/>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46" t="s">
        <v>1465</v>
      </c>
      <c r="K4" s="3447"/>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48" t="s">
        <v>1469</v>
      </c>
      <c r="B6" s="3449"/>
      <c r="C6" s="3450"/>
      <c r="D6" s="1678"/>
      <c r="E6" s="1679"/>
      <c r="F6" s="1680"/>
      <c r="G6" s="1681"/>
      <c r="H6" s="1669"/>
      <c r="I6" s="1754"/>
      <c r="J6" s="3457">
        <v>1</v>
      </c>
      <c r="K6" s="3460"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57"/>
      <c r="K7" s="3461"/>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51" t="s">
        <v>1483</v>
      </c>
      <c r="C8" s="3452"/>
      <c r="D8" s="1692" t="s">
        <v>1484</v>
      </c>
      <c r="E8" s="1693" t="s">
        <v>1485</v>
      </c>
      <c r="F8" s="1694" t="s">
        <v>1486</v>
      </c>
      <c r="G8" s="1695"/>
      <c r="H8" s="1669"/>
      <c r="I8" s="1754"/>
      <c r="J8" s="3457"/>
      <c r="K8" s="3461"/>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51" t="s">
        <v>1489</v>
      </c>
      <c r="C9" s="3452"/>
      <c r="D9" s="1692">
        <f>ROUND(D6*E9,0)</f>
        <v>0</v>
      </c>
      <c r="E9" s="1696"/>
      <c r="F9" s="1697" t="s">
        <v>1490</v>
      </c>
      <c r="G9" s="1681"/>
      <c r="H9" s="1669"/>
      <c r="I9" s="1754"/>
      <c r="J9" s="3457"/>
      <c r="K9" s="3461"/>
      <c r="L9" s="1774" t="s">
        <v>1491</v>
      </c>
      <c r="M9" s="1775"/>
      <c r="N9" s="1674"/>
      <c r="O9" s="1776"/>
      <c r="P9" s="1776"/>
      <c r="Q9" s="1707">
        <v>365</v>
      </c>
      <c r="R9" s="1808">
        <f t="shared" si="0"/>
        <v>0</v>
      </c>
      <c r="S9" s="1723"/>
      <c r="T9" s="1723"/>
      <c r="U9" s="1723"/>
      <c r="V9" s="1754"/>
    </row>
    <row r="10" spans="1:22" s="1651" customFormat="1" ht="13.2" customHeight="1">
      <c r="A10" s="1689">
        <v>2</v>
      </c>
      <c r="B10" s="3451" t="s">
        <v>1492</v>
      </c>
      <c r="C10" s="3452"/>
      <c r="D10" s="1692">
        <f>ROUND(D6*E10,0)</f>
        <v>0</v>
      </c>
      <c r="E10" s="1696"/>
      <c r="F10" s="1697" t="s">
        <v>1493</v>
      </c>
      <c r="G10" s="1681"/>
      <c r="H10" s="1669"/>
      <c r="I10" s="1754"/>
      <c r="J10" s="3457"/>
      <c r="K10" s="3461"/>
      <c r="L10" s="1774" t="s">
        <v>1494</v>
      </c>
      <c r="M10" s="1775"/>
      <c r="N10" s="1674"/>
      <c r="O10" s="1776"/>
      <c r="P10" s="1776"/>
      <c r="Q10" s="1707">
        <v>365</v>
      </c>
      <c r="R10" s="1808">
        <f t="shared" si="0"/>
        <v>0</v>
      </c>
      <c r="S10" s="1723"/>
      <c r="T10" s="1723"/>
      <c r="U10" s="1723"/>
      <c r="V10" s="1754"/>
    </row>
    <row r="11" spans="1:22" s="1651" customFormat="1" ht="13.2" customHeight="1">
      <c r="A11" s="1689">
        <v>3</v>
      </c>
      <c r="B11" s="3451" t="s">
        <v>1495</v>
      </c>
      <c r="C11" s="3452"/>
      <c r="D11" s="1692">
        <f>D12+D14+D15+D16</f>
        <v>0</v>
      </c>
      <c r="E11" s="1698" t="e">
        <f>D11/D6</f>
        <v>#DIV/0!</v>
      </c>
      <c r="F11" s="1694"/>
      <c r="G11" s="1695"/>
      <c r="H11" s="1669"/>
      <c r="I11" s="1754"/>
      <c r="J11" s="3457"/>
      <c r="K11" s="3461"/>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53" t="s">
        <v>1498</v>
      </c>
      <c r="C12" s="3454"/>
      <c r="D12" s="1702">
        <f>ROUND(D13*1.2%*(1-30%),0)</f>
        <v>0</v>
      </c>
      <c r="E12" s="1703">
        <v>1.2E-2</v>
      </c>
      <c r="F12" s="1694" t="s">
        <v>1499</v>
      </c>
      <c r="G12" s="1695"/>
      <c r="H12" s="1669"/>
      <c r="I12" s="1754"/>
      <c r="J12" s="3457"/>
      <c r="K12" s="3461"/>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57"/>
      <c r="K13" s="3461"/>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53" t="s">
        <v>1504</v>
      </c>
      <c r="C14" s="3454"/>
      <c r="D14" s="1702">
        <f>ROUND(E14*B5/10000,0)</f>
        <v>0</v>
      </c>
      <c r="E14" s="1707"/>
      <c r="F14" s="1694" t="s">
        <v>1505</v>
      </c>
      <c r="G14" s="1695"/>
      <c r="H14" s="1669"/>
      <c r="I14" s="1754"/>
      <c r="J14" s="3457"/>
      <c r="K14" s="3462"/>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53" t="s">
        <v>1508</v>
      </c>
      <c r="C15" s="3454"/>
      <c r="D15" s="1702">
        <f>ROUND(D6*E15,0)</f>
        <v>0</v>
      </c>
      <c r="E15" s="1703">
        <v>5.5E-2</v>
      </c>
      <c r="F15" s="1694" t="s">
        <v>1509</v>
      </c>
      <c r="G15" s="1681"/>
      <c r="H15" s="1669"/>
      <c r="I15" s="1754"/>
      <c r="J15" s="3457">
        <v>2</v>
      </c>
      <c r="K15" s="3460"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53" t="s">
        <v>1516</v>
      </c>
      <c r="C16" s="3454"/>
      <c r="D16" s="1708">
        <f>D6*E16</f>
        <v>0</v>
      </c>
      <c r="E16" s="1709"/>
      <c r="F16" s="1697" t="s">
        <v>1517</v>
      </c>
      <c r="G16" s="1681"/>
      <c r="H16" s="1669"/>
      <c r="I16" s="1754"/>
      <c r="J16" s="3457"/>
      <c r="K16" s="3461"/>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55" t="s">
        <v>1519</v>
      </c>
      <c r="C17" s="3456"/>
      <c r="D17" s="1711">
        <f>ROUND(D6*E17,0)</f>
        <v>0</v>
      </c>
      <c r="E17" s="1712"/>
      <c r="F17" s="1713" t="s">
        <v>1520</v>
      </c>
      <c r="G17" s="1681"/>
      <c r="H17" s="1669"/>
      <c r="I17" s="1754"/>
      <c r="J17" s="3457"/>
      <c r="K17" s="3461"/>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57"/>
      <c r="K18" s="3461"/>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57"/>
      <c r="K19" s="3462"/>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57">
        <v>3</v>
      </c>
      <c r="K20" s="3460"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57"/>
      <c r="K21" s="3461"/>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57"/>
      <c r="K22" s="3461"/>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57"/>
      <c r="K23" s="3461"/>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57"/>
      <c r="K24" s="3462"/>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58">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59"/>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44" t="s">
        <v>1456</v>
      </c>
      <c r="K32" s="3445"/>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46" t="s">
        <v>1464</v>
      </c>
      <c r="K33" s="3447"/>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46" t="s">
        <v>1465</v>
      </c>
      <c r="K34" s="3447"/>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57">
        <v>1</v>
      </c>
      <c r="K36" s="3460"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57"/>
      <c r="K37" s="3461"/>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57"/>
      <c r="K38" s="3461"/>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57"/>
      <c r="K39" s="3461"/>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57"/>
      <c r="K40" s="3462"/>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58">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59"/>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2293.7404000000001</v>
      </c>
      <c r="C2" s="1636" t="s">
        <v>1566</v>
      </c>
      <c r="D2" s="1637" t="s">
        <v>1567</v>
      </c>
      <c r="E2" s="1638">
        <f>SUM(E6:E13)</f>
        <v>885.63</v>
      </c>
      <c r="F2" s="1634"/>
      <c r="G2" s="1400"/>
      <c r="H2" s="1400"/>
      <c r="I2" s="1400"/>
      <c r="J2" s="1400"/>
      <c r="K2" s="1400"/>
      <c r="L2" s="1400"/>
      <c r="M2" s="1400"/>
      <c r="N2" s="1400"/>
      <c r="O2" s="1400"/>
      <c r="P2" s="1400"/>
      <c r="Q2" s="1400"/>
      <c r="R2" s="1400"/>
      <c r="S2" s="1400"/>
    </row>
    <row r="3" spans="1:22" ht="15.6">
      <c r="A3" s="1635" t="s">
        <v>999</v>
      </c>
      <c r="B3" s="1639">
        <f ca="1">ROUND(B2*10000/E2,0)</f>
        <v>25900</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63" t="s">
        <v>1570</v>
      </c>
      <c r="C5" s="3464"/>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897.79499999999996</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986.96270000000004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408.98270000000002</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383" t="s">
        <v>1347</v>
      </c>
      <c r="D4" s="3384"/>
      <c r="E4" s="3385" t="s">
        <v>1348</v>
      </c>
      <c r="F4" s="3386"/>
      <c r="G4" s="3383" t="s">
        <v>1349</v>
      </c>
      <c r="H4" s="3384"/>
      <c r="I4" s="3383" t="s">
        <v>1350</v>
      </c>
      <c r="J4" s="3384"/>
      <c r="K4" s="1569"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437" t="s">
        <v>1349</v>
      </c>
      <c r="AC4" s="3437" t="s">
        <v>1350</v>
      </c>
    </row>
    <row r="5" spans="1:29">
      <c r="A5" s="922"/>
      <c r="B5" s="923"/>
      <c r="C5" s="3431" t="s">
        <v>1575</v>
      </c>
      <c r="D5" s="3388"/>
      <c r="E5" s="3432" t="s">
        <v>1576</v>
      </c>
      <c r="F5" s="3433"/>
      <c r="G5" s="3431" t="s">
        <v>1577</v>
      </c>
      <c r="H5" s="3388"/>
      <c r="I5" s="3431" t="s">
        <v>1353</v>
      </c>
      <c r="J5" s="3388"/>
      <c r="K5" s="1570"/>
      <c r="L5" s="1065"/>
      <c r="M5" s="1015"/>
      <c r="N5" s="1015"/>
      <c r="O5" s="1015"/>
      <c r="P5" s="3440"/>
      <c r="Q5" s="3421"/>
      <c r="R5" s="3426"/>
      <c r="S5" s="3427"/>
      <c r="T5" s="3426"/>
      <c r="U5" s="3427"/>
      <c r="V5" s="3399"/>
      <c r="W5" s="3399"/>
      <c r="X5" s="1113"/>
      <c r="Y5" s="3426"/>
      <c r="Z5" s="3427"/>
      <c r="AA5" s="3413"/>
      <c r="AB5" s="3413"/>
      <c r="AC5" s="3413"/>
    </row>
    <row r="6" spans="1:29" ht="14.4">
      <c r="A6" s="924"/>
      <c r="B6" s="925"/>
      <c r="C6" s="3389" t="s">
        <v>1354</v>
      </c>
      <c r="D6" s="3390"/>
      <c r="E6" s="3391" t="s">
        <v>1354</v>
      </c>
      <c r="F6" s="3392"/>
      <c r="G6" s="3389" t="s">
        <v>1354</v>
      </c>
      <c r="H6" s="3390"/>
      <c r="I6" s="3389" t="s">
        <v>1354</v>
      </c>
      <c r="J6" s="3390"/>
      <c r="K6" s="1570" t="s">
        <v>1355</v>
      </c>
      <c r="L6" s="1065"/>
      <c r="M6" s="1015"/>
      <c r="N6" s="1015"/>
      <c r="O6" s="1015"/>
      <c r="P6" s="3441"/>
      <c r="Q6" s="3423"/>
      <c r="R6" s="3426"/>
      <c r="S6" s="3427"/>
      <c r="T6" s="3428"/>
      <c r="U6" s="3429"/>
      <c r="V6" s="3399"/>
      <c r="W6" s="3399"/>
      <c r="X6" s="1113"/>
      <c r="Y6" s="3428"/>
      <c r="Z6" s="3429"/>
      <c r="AA6" s="3414"/>
      <c r="AB6" s="3414"/>
      <c r="AC6" s="3414"/>
    </row>
    <row r="7" spans="1:29" s="899" customFormat="1" ht="14.4">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395" t="s">
        <v>1357</v>
      </c>
      <c r="Q7" s="3394"/>
      <c r="R7" s="1114" t="s">
        <v>1358</v>
      </c>
      <c r="S7" s="1115">
        <f t="shared" ref="S7:S15" si="0">F7</f>
        <v>0</v>
      </c>
      <c r="T7" s="1114" t="s">
        <v>1358</v>
      </c>
      <c r="U7" s="1115">
        <f t="shared" ref="U7:U15" si="1">H7</f>
        <v>0</v>
      </c>
      <c r="V7" s="1114" t="s">
        <v>1358</v>
      </c>
      <c r="W7" s="1115">
        <f t="shared" ref="W7:W15" si="2">J7</f>
        <v>0</v>
      </c>
      <c r="X7" s="1116"/>
      <c r="Y7" s="3395" t="s">
        <v>1357</v>
      </c>
      <c r="Z7" s="3396"/>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395" t="s">
        <v>1361</v>
      </c>
      <c r="Q8" s="3396"/>
      <c r="R8" s="1114" t="s">
        <v>1358</v>
      </c>
      <c r="S8" s="1115">
        <f t="shared" si="0"/>
        <v>100</v>
      </c>
      <c r="T8" s="1114" t="s">
        <v>1358</v>
      </c>
      <c r="U8" s="1115">
        <f t="shared" si="1"/>
        <v>100</v>
      </c>
      <c r="V8" s="1114" t="s">
        <v>1358</v>
      </c>
      <c r="W8" s="1115">
        <f t="shared" si="2"/>
        <v>100</v>
      </c>
      <c r="X8" s="1116"/>
      <c r="Y8" s="3395" t="s">
        <v>1361</v>
      </c>
      <c r="Z8" s="3396"/>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397"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397"/>
      <c r="Q10" s="790" t="str">
        <f t="shared" si="6"/>
        <v>土地使用年限（年）</v>
      </c>
      <c r="R10" s="1114" t="s">
        <v>1358</v>
      </c>
      <c r="S10" s="1115">
        <f t="shared" si="0"/>
        <v>100</v>
      </c>
      <c r="T10" s="1114" t="s">
        <v>1358</v>
      </c>
      <c r="U10" s="1115">
        <f t="shared" si="1"/>
        <v>100</v>
      </c>
      <c r="V10" s="1114" t="s">
        <v>1358</v>
      </c>
      <c r="W10" s="1115">
        <f t="shared" si="2"/>
        <v>100</v>
      </c>
      <c r="X10" s="1116"/>
      <c r="Y10" s="3369"/>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397"/>
      <c r="Q11" s="790" t="str">
        <f t="shared" si="6"/>
        <v>容积率</v>
      </c>
      <c r="R11" s="1114" t="s">
        <v>1358</v>
      </c>
      <c r="S11" s="1115" t="e">
        <f t="shared" si="0"/>
        <v>#N/A</v>
      </c>
      <c r="T11" s="1114" t="s">
        <v>1358</v>
      </c>
      <c r="U11" s="1115" t="e">
        <f t="shared" si="1"/>
        <v>#N/A</v>
      </c>
      <c r="V11" s="1114" t="s">
        <v>1358</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397"/>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397"/>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397"/>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0" t="s">
        <v>1370</v>
      </c>
      <c r="Q15" s="621" t="str">
        <f t="shared" si="6"/>
        <v>居住社区成熟度</v>
      </c>
      <c r="R15" s="1118" t="s">
        <v>1358</v>
      </c>
      <c r="S15" s="1119">
        <f t="shared" si="0"/>
        <v>100</v>
      </c>
      <c r="T15" s="1118" t="s">
        <v>1358</v>
      </c>
      <c r="U15" s="1119">
        <f t="shared" si="1"/>
        <v>100</v>
      </c>
      <c r="V15" s="1118" t="s">
        <v>1358</v>
      </c>
      <c r="W15" s="1119">
        <f t="shared" si="2"/>
        <v>100</v>
      </c>
      <c r="X15" s="1113"/>
      <c r="Y15" s="3405"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1"/>
      <c r="Q16" s="621"/>
      <c r="R16" s="1118"/>
      <c r="S16" s="1119"/>
      <c r="T16" s="1118"/>
      <c r="U16" s="1119"/>
      <c r="V16" s="1118"/>
      <c r="W16" s="1119"/>
      <c r="X16" s="1113"/>
      <c r="Y16" s="3406"/>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1"/>
      <c r="Q17" s="621" t="str">
        <f>B17</f>
        <v>交通便捷度</v>
      </c>
      <c r="R17" s="1118" t="s">
        <v>1358</v>
      </c>
      <c r="S17" s="1119">
        <f>F17</f>
        <v>100</v>
      </c>
      <c r="T17" s="1118" t="s">
        <v>1358</v>
      </c>
      <c r="U17" s="1119">
        <f>H17</f>
        <v>100</v>
      </c>
      <c r="V17" s="1118" t="s">
        <v>1358</v>
      </c>
      <c r="W17" s="1119">
        <f>J17</f>
        <v>100</v>
      </c>
      <c r="X17" s="1113"/>
      <c r="Y17" s="3406"/>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1"/>
      <c r="Q18" s="621"/>
      <c r="R18" s="1118"/>
      <c r="S18" s="1119"/>
      <c r="T18" s="1118"/>
      <c r="U18" s="1119"/>
      <c r="V18" s="1118"/>
      <c r="W18" s="1119"/>
      <c r="X18" s="1113"/>
      <c r="Y18" s="3406"/>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1"/>
      <c r="Q19" s="621" t="str">
        <f>B19</f>
        <v>公共配套设施</v>
      </c>
      <c r="R19" s="1118" t="s">
        <v>1358</v>
      </c>
      <c r="S19" s="1119">
        <f>F19</f>
        <v>100</v>
      </c>
      <c r="T19" s="1118" t="s">
        <v>1358</v>
      </c>
      <c r="U19" s="1119">
        <f>H19</f>
        <v>100</v>
      </c>
      <c r="V19" s="1118" t="s">
        <v>1358</v>
      </c>
      <c r="W19" s="1119">
        <f>J19</f>
        <v>100</v>
      </c>
      <c r="X19" s="1113"/>
      <c r="Y19" s="3406"/>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1"/>
      <c r="Q20" s="621"/>
      <c r="R20" s="1118"/>
      <c r="S20" s="1119"/>
      <c r="T20" s="1118"/>
      <c r="U20" s="1119"/>
      <c r="V20" s="1118"/>
      <c r="W20" s="1119"/>
      <c r="X20" s="1113"/>
      <c r="Y20" s="3406"/>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1"/>
      <c r="Q21" s="621" t="str">
        <f>B21</f>
        <v>基础设施水平</v>
      </c>
      <c r="R21" s="1118" t="s">
        <v>1358</v>
      </c>
      <c r="S21" s="1119">
        <f>F21</f>
        <v>100</v>
      </c>
      <c r="T21" s="1118" t="s">
        <v>1358</v>
      </c>
      <c r="U21" s="1119">
        <f>H21</f>
        <v>100</v>
      </c>
      <c r="V21" s="1118" t="s">
        <v>1358</v>
      </c>
      <c r="W21" s="1119">
        <f>J21</f>
        <v>100</v>
      </c>
      <c r="X21" s="1113"/>
      <c r="Y21" s="3406"/>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1"/>
      <c r="Q22" s="621"/>
      <c r="R22" s="1118"/>
      <c r="S22" s="1119"/>
      <c r="T22" s="1118"/>
      <c r="U22" s="1119"/>
      <c r="V22" s="1118"/>
      <c r="W22" s="1119"/>
      <c r="X22" s="1113"/>
      <c r="Y22" s="3406"/>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1"/>
      <c r="Q23" s="621" t="str">
        <f>B23</f>
        <v>自然及人文环境</v>
      </c>
      <c r="R23" s="1118" t="s">
        <v>1358</v>
      </c>
      <c r="S23" s="1119">
        <f>F23</f>
        <v>100</v>
      </c>
      <c r="T23" s="1118" t="s">
        <v>1358</v>
      </c>
      <c r="U23" s="1119">
        <f>H23</f>
        <v>100</v>
      </c>
      <c r="V23" s="1118" t="s">
        <v>1358</v>
      </c>
      <c r="W23" s="1119">
        <f>J23</f>
        <v>100</v>
      </c>
      <c r="X23" s="1113"/>
      <c r="Y23" s="3406"/>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1"/>
      <c r="Q24" s="621"/>
      <c r="R24" s="1118"/>
      <c r="S24" s="1119"/>
      <c r="T24" s="1118"/>
      <c r="U24" s="1119"/>
      <c r="V24" s="1118"/>
      <c r="W24" s="1119"/>
      <c r="X24" s="1113"/>
      <c r="Y24" s="3406"/>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1"/>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06"/>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1"/>
      <c r="Q26" s="621" t="str">
        <f t="shared" si="11"/>
        <v>朝向</v>
      </c>
      <c r="R26" s="1118" t="s">
        <v>1358</v>
      </c>
      <c r="S26" s="1119">
        <f t="shared" si="12"/>
        <v>100</v>
      </c>
      <c r="T26" s="1118" t="s">
        <v>1358</v>
      </c>
      <c r="U26" s="1119">
        <f t="shared" si="13"/>
        <v>100</v>
      </c>
      <c r="V26" s="1118" t="s">
        <v>1358</v>
      </c>
      <c r="W26" s="1119">
        <f t="shared" si="14"/>
        <v>100</v>
      </c>
      <c r="X26" s="1113"/>
      <c r="Y26" s="3406"/>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1"/>
      <c r="Q27" s="790">
        <f t="shared" si="11"/>
        <v>111</v>
      </c>
      <c r="R27" s="1114" t="s">
        <v>1358</v>
      </c>
      <c r="S27" s="1115">
        <f t="shared" si="12"/>
        <v>100</v>
      </c>
      <c r="T27" s="1114" t="s">
        <v>1358</v>
      </c>
      <c r="U27" s="1115">
        <f t="shared" si="13"/>
        <v>100</v>
      </c>
      <c r="V27" s="1114" t="s">
        <v>1358</v>
      </c>
      <c r="W27" s="1115">
        <f t="shared" si="14"/>
        <v>100</v>
      </c>
      <c r="X27" s="1116"/>
      <c r="Y27" s="3406"/>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1"/>
      <c r="Q28" s="621">
        <f t="shared" si="11"/>
        <v>111</v>
      </c>
      <c r="R28" s="1118" t="s">
        <v>1358</v>
      </c>
      <c r="S28" s="1119">
        <f t="shared" si="12"/>
        <v>100</v>
      </c>
      <c r="T28" s="1118" t="s">
        <v>1358</v>
      </c>
      <c r="U28" s="1119">
        <f t="shared" si="13"/>
        <v>100</v>
      </c>
      <c r="V28" s="1118" t="s">
        <v>1358</v>
      </c>
      <c r="W28" s="1119">
        <f t="shared" si="14"/>
        <v>100</v>
      </c>
      <c r="X28" s="1113"/>
      <c r="Y28" s="3406"/>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1"/>
      <c r="Q29" s="621">
        <f t="shared" si="11"/>
        <v>111</v>
      </c>
      <c r="R29" s="1118" t="s">
        <v>1358</v>
      </c>
      <c r="S29" s="1119">
        <f t="shared" si="12"/>
        <v>100</v>
      </c>
      <c r="T29" s="1118" t="s">
        <v>1358</v>
      </c>
      <c r="U29" s="1119">
        <f t="shared" si="13"/>
        <v>100</v>
      </c>
      <c r="V29" s="1118" t="s">
        <v>1358</v>
      </c>
      <c r="W29" s="1119">
        <f t="shared" si="14"/>
        <v>100</v>
      </c>
      <c r="X29" s="1113"/>
      <c r="Y29" s="3406"/>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1"/>
      <c r="Q30" s="621">
        <f t="shared" si="11"/>
        <v>111</v>
      </c>
      <c r="R30" s="1118" t="s">
        <v>1358</v>
      </c>
      <c r="S30" s="1119">
        <f t="shared" si="12"/>
        <v>100</v>
      </c>
      <c r="T30" s="1118" t="s">
        <v>1358</v>
      </c>
      <c r="U30" s="1119">
        <f t="shared" si="13"/>
        <v>100</v>
      </c>
      <c r="V30" s="1118" t="s">
        <v>1358</v>
      </c>
      <c r="W30" s="1119">
        <f t="shared" si="14"/>
        <v>100</v>
      </c>
      <c r="X30" s="1113"/>
      <c r="Y30" s="3406"/>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1"/>
      <c r="Q31" s="621">
        <f t="shared" si="11"/>
        <v>111</v>
      </c>
      <c r="R31" s="1118" t="s">
        <v>1358</v>
      </c>
      <c r="S31" s="1119">
        <f t="shared" si="12"/>
        <v>100</v>
      </c>
      <c r="T31" s="1118" t="s">
        <v>1358</v>
      </c>
      <c r="U31" s="1119">
        <f t="shared" si="13"/>
        <v>100</v>
      </c>
      <c r="V31" s="1118" t="s">
        <v>1358</v>
      </c>
      <c r="W31" s="1119">
        <f t="shared" si="14"/>
        <v>100</v>
      </c>
      <c r="X31" s="1113"/>
      <c r="Y31" s="3406"/>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2" t="s">
        <v>1384</v>
      </c>
      <c r="Q32" s="621" t="str">
        <f t="shared" si="11"/>
        <v>建筑类型</v>
      </c>
      <c r="R32" s="1118" t="s">
        <v>1358</v>
      </c>
      <c r="S32" s="1119">
        <f t="shared" si="12"/>
        <v>100</v>
      </c>
      <c r="T32" s="1118" t="s">
        <v>1358</v>
      </c>
      <c r="U32" s="1119">
        <f t="shared" si="13"/>
        <v>100</v>
      </c>
      <c r="V32" s="1118" t="s">
        <v>1358</v>
      </c>
      <c r="W32" s="1119">
        <f t="shared" si="14"/>
        <v>100</v>
      </c>
      <c r="X32" s="1113"/>
      <c r="Y32" s="3407"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03"/>
      <c r="Q33" s="1308" t="str">
        <f t="shared" si="11"/>
        <v>项目建筑规模</v>
      </c>
      <c r="R33" s="1120" t="s">
        <v>1358</v>
      </c>
      <c r="S33" s="1121" t="e">
        <f t="shared" si="12"/>
        <v>#N/A</v>
      </c>
      <c r="T33" s="1120" t="s">
        <v>1358</v>
      </c>
      <c r="U33" s="1121" t="e">
        <f t="shared" si="13"/>
        <v>#N/A</v>
      </c>
      <c r="V33" s="1120" t="s">
        <v>1358</v>
      </c>
      <c r="W33" s="1121" t="e">
        <f t="shared" si="14"/>
        <v>#N/A</v>
      </c>
      <c r="X33" s="1122"/>
      <c r="Y33" s="3407"/>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03"/>
      <c r="Q34" s="621" t="str">
        <f t="shared" si="11"/>
        <v>建筑结构</v>
      </c>
      <c r="R34" s="1118" t="s">
        <v>1358</v>
      </c>
      <c r="S34" s="1119">
        <f t="shared" si="12"/>
        <v>100</v>
      </c>
      <c r="T34" s="1118" t="s">
        <v>1358</v>
      </c>
      <c r="U34" s="1119">
        <f t="shared" si="13"/>
        <v>100</v>
      </c>
      <c r="V34" s="1118" t="s">
        <v>1358</v>
      </c>
      <c r="W34" s="1119">
        <f t="shared" si="14"/>
        <v>100</v>
      </c>
      <c r="X34" s="1113"/>
      <c r="Y34" s="3407"/>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03"/>
      <c r="Q35" s="621" t="str">
        <f t="shared" si="11"/>
        <v>建筑品质</v>
      </c>
      <c r="R35" s="1118" t="s">
        <v>1358</v>
      </c>
      <c r="S35" s="1119">
        <f t="shared" si="12"/>
        <v>100</v>
      </c>
      <c r="T35" s="1118" t="s">
        <v>1358</v>
      </c>
      <c r="U35" s="1119">
        <f t="shared" si="13"/>
        <v>100</v>
      </c>
      <c r="V35" s="1118" t="s">
        <v>1358</v>
      </c>
      <c r="W35" s="1119">
        <f t="shared" si="14"/>
        <v>100</v>
      </c>
      <c r="X35" s="1113"/>
      <c r="Y35" s="3407"/>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03"/>
      <c r="Q36" s="621" t="str">
        <f t="shared" si="11"/>
        <v>公共部分装修</v>
      </c>
      <c r="R36" s="1118" t="s">
        <v>1358</v>
      </c>
      <c r="S36" s="1119">
        <f t="shared" si="12"/>
        <v>100</v>
      </c>
      <c r="T36" s="1118" t="s">
        <v>1358</v>
      </c>
      <c r="U36" s="1119">
        <f t="shared" si="13"/>
        <v>100</v>
      </c>
      <c r="V36" s="1118" t="s">
        <v>1358</v>
      </c>
      <c r="W36" s="1119">
        <f t="shared" si="14"/>
        <v>100</v>
      </c>
      <c r="X36" s="1113"/>
      <c r="Y36" s="3407"/>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03"/>
      <c r="Q37" s="790" t="str">
        <f t="shared" si="11"/>
        <v>成新度</v>
      </c>
      <c r="R37" s="1114" t="s">
        <v>1358</v>
      </c>
      <c r="S37" s="1115" t="e">
        <f t="shared" si="12"/>
        <v>#N/A</v>
      </c>
      <c r="T37" s="1114" t="s">
        <v>1358</v>
      </c>
      <c r="U37" s="1115" t="e">
        <f t="shared" si="13"/>
        <v>#N/A</v>
      </c>
      <c r="V37" s="1114" t="s">
        <v>1358</v>
      </c>
      <c r="W37" s="1115" t="e">
        <f t="shared" si="14"/>
        <v>#N/A</v>
      </c>
      <c r="X37" s="1116"/>
      <c r="Y37" s="3407"/>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03" t="s">
        <v>1384</v>
      </c>
      <c r="Q38" s="621" t="str">
        <f t="shared" si="11"/>
        <v>物业管理</v>
      </c>
      <c r="R38" s="1118" t="s">
        <v>1358</v>
      </c>
      <c r="S38" s="1119">
        <f t="shared" si="12"/>
        <v>100</v>
      </c>
      <c r="T38" s="1118" t="s">
        <v>1358</v>
      </c>
      <c r="U38" s="1119">
        <f t="shared" si="13"/>
        <v>100</v>
      </c>
      <c r="V38" s="1118" t="s">
        <v>1358</v>
      </c>
      <c r="W38" s="1119">
        <f t="shared" si="14"/>
        <v>100</v>
      </c>
      <c r="X38" s="1113"/>
      <c r="Y38" s="3407"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03"/>
      <c r="Q39" s="621" t="str">
        <f t="shared" si="11"/>
        <v>市政基础设施</v>
      </c>
      <c r="R39" s="1118" t="s">
        <v>1358</v>
      </c>
      <c r="S39" s="1119">
        <f t="shared" si="12"/>
        <v>100</v>
      </c>
      <c r="T39" s="1118" t="s">
        <v>1358</v>
      </c>
      <c r="U39" s="1119">
        <f t="shared" si="13"/>
        <v>100</v>
      </c>
      <c r="V39" s="1118" t="s">
        <v>1358</v>
      </c>
      <c r="W39" s="1119">
        <f t="shared" si="14"/>
        <v>100</v>
      </c>
      <c r="X39" s="1113"/>
      <c r="Y39" s="3407"/>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03"/>
      <c r="Q40" s="621" t="str">
        <f t="shared" si="11"/>
        <v>房型</v>
      </c>
      <c r="R40" s="1118" t="s">
        <v>1358</v>
      </c>
      <c r="S40" s="1119">
        <f t="shared" si="12"/>
        <v>100</v>
      </c>
      <c r="T40" s="1118" t="s">
        <v>1358</v>
      </c>
      <c r="U40" s="1119">
        <f t="shared" si="13"/>
        <v>100</v>
      </c>
      <c r="V40" s="1118" t="s">
        <v>1358</v>
      </c>
      <c r="W40" s="1119">
        <f t="shared" si="14"/>
        <v>100</v>
      </c>
      <c r="X40" s="1113"/>
      <c r="Y40" s="3407"/>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03"/>
      <c r="Q41" s="1308" t="str">
        <f t="shared" si="11"/>
        <v>单套/主力户型建筑面积</v>
      </c>
      <c r="R41" s="1120" t="s">
        <v>1358</v>
      </c>
      <c r="S41" s="1121">
        <f t="shared" si="12"/>
        <v>100</v>
      </c>
      <c r="T41" s="1120" t="s">
        <v>1358</v>
      </c>
      <c r="U41" s="1121">
        <f t="shared" si="13"/>
        <v>100</v>
      </c>
      <c r="V41" s="1120" t="s">
        <v>1358</v>
      </c>
      <c r="W41" s="1121">
        <f t="shared" si="14"/>
        <v>100</v>
      </c>
      <c r="X41" s="1122"/>
      <c r="Y41" s="3407"/>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03"/>
      <c r="Q42" s="621" t="str">
        <f t="shared" si="11"/>
        <v>内部装修</v>
      </c>
      <c r="R42" s="1118" t="s">
        <v>1358</v>
      </c>
      <c r="S42" s="1119">
        <f t="shared" si="12"/>
        <v>100</v>
      </c>
      <c r="T42" s="1118" t="s">
        <v>1358</v>
      </c>
      <c r="U42" s="1119">
        <f t="shared" si="13"/>
        <v>100</v>
      </c>
      <c r="V42" s="1118" t="s">
        <v>1358</v>
      </c>
      <c r="W42" s="1119">
        <f t="shared" si="14"/>
        <v>100</v>
      </c>
      <c r="X42" s="1113"/>
      <c r="Y42" s="3407"/>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03"/>
      <c r="Q43" s="621" t="str">
        <f t="shared" si="11"/>
        <v>内部装修维护情况</v>
      </c>
      <c r="R43" s="1118" t="s">
        <v>1358</v>
      </c>
      <c r="S43" s="1119">
        <f t="shared" si="12"/>
        <v>100</v>
      </c>
      <c r="T43" s="1118" t="s">
        <v>1358</v>
      </c>
      <c r="U43" s="1119">
        <f t="shared" si="13"/>
        <v>100</v>
      </c>
      <c r="V43" s="1118" t="s">
        <v>1358</v>
      </c>
      <c r="W43" s="1119">
        <f t="shared" si="14"/>
        <v>100</v>
      </c>
      <c r="X43" s="1113"/>
      <c r="Y43" s="3407"/>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03"/>
      <c r="Q44" s="790">
        <f t="shared" si="11"/>
        <v>111</v>
      </c>
      <c r="R44" s="1114" t="s">
        <v>1358</v>
      </c>
      <c r="S44" s="1115">
        <f t="shared" si="12"/>
        <v>100</v>
      </c>
      <c r="T44" s="1114" t="s">
        <v>1358</v>
      </c>
      <c r="U44" s="1115">
        <f t="shared" si="13"/>
        <v>100</v>
      </c>
      <c r="V44" s="1114" t="s">
        <v>1358</v>
      </c>
      <c r="W44" s="1115">
        <f t="shared" si="14"/>
        <v>100</v>
      </c>
      <c r="X44" s="1116"/>
      <c r="Y44" s="3407"/>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03"/>
      <c r="Q45" s="621">
        <f t="shared" si="11"/>
        <v>111</v>
      </c>
      <c r="R45" s="1118" t="s">
        <v>1358</v>
      </c>
      <c r="S45" s="1119">
        <f t="shared" si="12"/>
        <v>100</v>
      </c>
      <c r="T45" s="1118" t="s">
        <v>1358</v>
      </c>
      <c r="U45" s="1119">
        <f t="shared" si="13"/>
        <v>100</v>
      </c>
      <c r="V45" s="1118" t="s">
        <v>1358</v>
      </c>
      <c r="W45" s="1119">
        <f t="shared" si="14"/>
        <v>100</v>
      </c>
      <c r="X45" s="1113"/>
      <c r="Y45" s="3407"/>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04"/>
      <c r="Q46" s="621">
        <f t="shared" si="11"/>
        <v>111</v>
      </c>
      <c r="R46" s="1118" t="s">
        <v>1358</v>
      </c>
      <c r="S46" s="1119">
        <f t="shared" si="12"/>
        <v>100</v>
      </c>
      <c r="T46" s="1118" t="s">
        <v>1358</v>
      </c>
      <c r="U46" s="1119">
        <f t="shared" si="13"/>
        <v>100</v>
      </c>
      <c r="V46" s="1118" t="s">
        <v>1358</v>
      </c>
      <c r="W46" s="1119">
        <f t="shared" si="14"/>
        <v>100</v>
      </c>
      <c r="X46" s="1113"/>
      <c r="Y46" s="3408"/>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398" t="str">
        <f>A47</f>
        <v>成交单价（元/平方米）</v>
      </c>
      <c r="Q47" s="3398"/>
      <c r="R47" s="3399">
        <f>E47</f>
        <v>0</v>
      </c>
      <c r="S47" s="3399"/>
      <c r="T47" s="3399">
        <f>G47</f>
        <v>0</v>
      </c>
      <c r="U47" s="3399"/>
      <c r="V47" s="3399">
        <f>I47</f>
        <v>0</v>
      </c>
      <c r="W47" s="3399"/>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65" t="s">
        <v>1614</v>
      </c>
      <c r="D1" s="3466"/>
      <c r="E1" s="3466"/>
      <c r="F1" s="3466"/>
      <c r="G1" s="3466"/>
      <c r="H1" s="3466"/>
      <c r="I1" s="3466"/>
      <c r="J1" s="3466"/>
      <c r="K1" s="3466"/>
      <c r="L1" s="3466"/>
      <c r="M1" s="3466"/>
      <c r="N1" s="3466"/>
      <c r="O1" s="3466"/>
      <c r="P1" s="3466"/>
      <c r="Q1" s="3466"/>
      <c r="R1" s="3466"/>
      <c r="S1" s="3467"/>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2631.8265999999999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29717</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68" t="s">
        <v>124</v>
      </c>
      <c r="D22" s="3469"/>
      <c r="E22" s="3469"/>
      <c r="F22" s="3469"/>
      <c r="G22" s="3469"/>
      <c r="H22" s="3469"/>
      <c r="I22" s="3469"/>
      <c r="J22" s="3469"/>
      <c r="K22" s="3469"/>
      <c r="L22" s="3469"/>
      <c r="M22" s="3469"/>
      <c r="N22" s="3469"/>
      <c r="O22" s="3469"/>
      <c r="P22" s="3469"/>
      <c r="Q22" s="3470"/>
      <c r="R22" s="1469">
        <f ca="1">ROUND(S22*10000/B22,0)</f>
        <v>29717</v>
      </c>
      <c r="S22" s="1469">
        <f ca="1">SUM(S24:S10000)</f>
        <v>2631.8265999999999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29717</v>
      </c>
      <c r="S24" s="1525">
        <f t="shared" ref="S24:S32" ca="1" si="11">ROUND(R24*B24/10000,4)</f>
        <v>1055.9043999999999</v>
      </c>
      <c r="T24" s="1526">
        <f ca="1">结果表110!N59</f>
        <v>390.94630000000006</v>
      </c>
      <c r="U24" s="1526">
        <f ca="1">结果表110!N61</f>
        <v>4414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29717</v>
      </c>
      <c r="S25" s="1468">
        <f t="shared" ca="1" si="11"/>
        <v>1114.2092</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29717</v>
      </c>
      <c r="S26" s="1468">
        <f t="shared" ca="1" si="11"/>
        <v>461.71300000000002</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29717</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29717</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29717</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29717</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29717</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29717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383" t="s">
        <v>1347</v>
      </c>
      <c r="D4" s="3384"/>
      <c r="E4" s="3385" t="s">
        <v>1348</v>
      </c>
      <c r="F4" s="3386"/>
      <c r="G4" s="3383" t="s">
        <v>1349</v>
      </c>
      <c r="H4" s="3384"/>
      <c r="I4" s="3383" t="s">
        <v>1350</v>
      </c>
      <c r="J4" s="3384"/>
      <c r="K4" s="1064" t="s">
        <v>1351</v>
      </c>
      <c r="L4" s="1380"/>
      <c r="M4" s="1050"/>
      <c r="N4" s="1050"/>
      <c r="O4" s="1050"/>
      <c r="P4" s="3438" t="s">
        <v>1352</v>
      </c>
      <c r="Q4" s="3439"/>
      <c r="R4" s="3442" t="s">
        <v>1348</v>
      </c>
      <c r="S4" s="3443"/>
      <c r="T4" s="3442" t="s">
        <v>1349</v>
      </c>
      <c r="U4" s="3443"/>
      <c r="V4" s="3399" t="s">
        <v>1350</v>
      </c>
      <c r="W4" s="3399"/>
      <c r="X4" s="1113"/>
      <c r="Y4" s="3442" t="s">
        <v>1352</v>
      </c>
      <c r="Z4" s="3443"/>
      <c r="AA4" s="3437" t="s">
        <v>1348</v>
      </c>
      <c r="AB4" s="3413" t="s">
        <v>1349</v>
      </c>
      <c r="AC4" s="3437" t="s">
        <v>1350</v>
      </c>
    </row>
    <row r="5" spans="1:29">
      <c r="A5" s="922"/>
      <c r="B5" s="923"/>
      <c r="C5" s="3431" t="s">
        <v>1575</v>
      </c>
      <c r="D5" s="3388"/>
      <c r="E5" s="3432" t="s">
        <v>1576</v>
      </c>
      <c r="F5" s="3433"/>
      <c r="G5" s="3431" t="s">
        <v>1577</v>
      </c>
      <c r="H5" s="3388"/>
      <c r="I5" s="3431" t="s">
        <v>1353</v>
      </c>
      <c r="J5" s="3388"/>
      <c r="K5" s="1064"/>
      <c r="L5" s="1380"/>
      <c r="M5" s="1050"/>
      <c r="N5" s="1050"/>
      <c r="O5" s="1050"/>
      <c r="P5" s="3440"/>
      <c r="Q5" s="3421"/>
      <c r="R5" s="3426"/>
      <c r="S5" s="3427"/>
      <c r="T5" s="3426"/>
      <c r="U5" s="3427"/>
      <c r="V5" s="3399"/>
      <c r="W5" s="3399"/>
      <c r="X5" s="1113"/>
      <c r="Y5" s="3426"/>
      <c r="Z5" s="3427"/>
      <c r="AA5" s="3413"/>
      <c r="AB5" s="3413"/>
      <c r="AC5" s="3413"/>
    </row>
    <row r="6" spans="1:29" ht="14.4">
      <c r="A6" s="924"/>
      <c r="B6" s="925"/>
      <c r="C6" s="3389" t="s">
        <v>1354</v>
      </c>
      <c r="D6" s="3390"/>
      <c r="E6" s="3391" t="s">
        <v>1354</v>
      </c>
      <c r="F6" s="3392"/>
      <c r="G6" s="3389" t="s">
        <v>1354</v>
      </c>
      <c r="H6" s="3390"/>
      <c r="I6" s="3389" t="s">
        <v>1354</v>
      </c>
      <c r="J6" s="3390"/>
      <c r="K6" s="1064" t="s">
        <v>1355</v>
      </c>
      <c r="L6" s="1380"/>
      <c r="M6" s="1050"/>
      <c r="N6" s="1050"/>
      <c r="O6" s="1050"/>
      <c r="P6" s="3441"/>
      <c r="Q6" s="3423"/>
      <c r="R6" s="3426"/>
      <c r="S6" s="3427"/>
      <c r="T6" s="3428"/>
      <c r="U6" s="3429"/>
      <c r="V6" s="3399"/>
      <c r="W6" s="3399"/>
      <c r="X6" s="1113"/>
      <c r="Y6" s="3428"/>
      <c r="Z6" s="3429"/>
      <c r="AA6" s="3414"/>
      <c r="AB6" s="3414"/>
      <c r="AC6" s="3414"/>
    </row>
    <row r="7" spans="1:29" s="899" customFormat="1" ht="14.4">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395" t="s">
        <v>1357</v>
      </c>
      <c r="Q7" s="3394"/>
      <c r="R7" s="1114" t="s">
        <v>1358</v>
      </c>
      <c r="S7" s="1115">
        <f t="shared" ref="S7:S15" si="0">F7</f>
        <v>0</v>
      </c>
      <c r="T7" s="1114" t="s">
        <v>1358</v>
      </c>
      <c r="U7" s="1115">
        <f t="shared" ref="U7:U15" si="1">H7</f>
        <v>0</v>
      </c>
      <c r="V7" s="1114" t="s">
        <v>1358</v>
      </c>
      <c r="W7" s="1115">
        <f t="shared" ref="W7:W15" si="2">J7</f>
        <v>0</v>
      </c>
      <c r="X7" s="1116"/>
      <c r="Y7" s="3395" t="s">
        <v>1357</v>
      </c>
      <c r="Z7" s="3396"/>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395" t="s">
        <v>1361</v>
      </c>
      <c r="Q8" s="3396"/>
      <c r="R8" s="1114" t="s">
        <v>1358</v>
      </c>
      <c r="S8" s="1115">
        <f t="shared" si="0"/>
        <v>100</v>
      </c>
      <c r="T8" s="1114" t="s">
        <v>1358</v>
      </c>
      <c r="U8" s="1115">
        <f t="shared" si="1"/>
        <v>100</v>
      </c>
      <c r="V8" s="1114" t="s">
        <v>1358</v>
      </c>
      <c r="W8" s="1115">
        <f t="shared" si="2"/>
        <v>100</v>
      </c>
      <c r="X8" s="1116"/>
      <c r="Y8" s="3395" t="s">
        <v>1361</v>
      </c>
      <c r="Z8" s="3396"/>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8"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8"/>
      <c r="Q10" s="790" t="str">
        <f t="shared" si="6"/>
        <v>土地使用年限（年）</v>
      </c>
      <c r="R10" s="1114" t="s">
        <v>1358</v>
      </c>
      <c r="S10" s="1115">
        <f t="shared" si="0"/>
        <v>100</v>
      </c>
      <c r="T10" s="1114" t="s">
        <v>1358</v>
      </c>
      <c r="U10" s="1115">
        <f t="shared" si="1"/>
        <v>100</v>
      </c>
      <c r="V10" s="1114" t="s">
        <v>1358</v>
      </c>
      <c r="W10" s="1115">
        <f t="shared" si="2"/>
        <v>100</v>
      </c>
      <c r="X10" s="1116"/>
      <c r="Y10" s="3369"/>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8"/>
      <c r="Q11" s="790" t="str">
        <f t="shared" si="6"/>
        <v>容积率</v>
      </c>
      <c r="R11" s="1114" t="s">
        <v>1358</v>
      </c>
      <c r="S11" s="1115">
        <f t="shared" si="0"/>
        <v>100</v>
      </c>
      <c r="T11" s="1114" t="s">
        <v>1358</v>
      </c>
      <c r="U11" s="1115">
        <f t="shared" si="1"/>
        <v>100</v>
      </c>
      <c r="V11" s="1114" t="s">
        <v>1358</v>
      </c>
      <c r="W11" s="1115">
        <f t="shared" si="2"/>
        <v>100</v>
      </c>
      <c r="X11" s="1116"/>
      <c r="Y11" s="3369"/>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8"/>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8"/>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8"/>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05" t="s">
        <v>1370</v>
      </c>
      <c r="Q15" s="621" t="str">
        <f t="shared" si="6"/>
        <v>产业集聚程度</v>
      </c>
      <c r="R15" s="1118" t="s">
        <v>1358</v>
      </c>
      <c r="S15" s="1119">
        <f t="shared" si="0"/>
        <v>100</v>
      </c>
      <c r="T15" s="1118" t="s">
        <v>1358</v>
      </c>
      <c r="U15" s="1119">
        <f t="shared" si="1"/>
        <v>100</v>
      </c>
      <c r="V15" s="1118" t="s">
        <v>1358</v>
      </c>
      <c r="W15" s="1119">
        <f t="shared" si="2"/>
        <v>100</v>
      </c>
      <c r="X15" s="1113"/>
      <c r="Y15" s="3405"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06"/>
      <c r="Q16" s="621"/>
      <c r="R16" s="1118"/>
      <c r="S16" s="1119"/>
      <c r="T16" s="1118"/>
      <c r="U16" s="1119"/>
      <c r="V16" s="1118"/>
      <c r="W16" s="1119"/>
      <c r="X16" s="1113"/>
      <c r="Y16" s="3406"/>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06"/>
      <c r="Q17" s="621" t="str">
        <f>B17</f>
        <v>交通便捷度</v>
      </c>
      <c r="R17" s="1118" t="s">
        <v>1358</v>
      </c>
      <c r="S17" s="1119">
        <f>F17</f>
        <v>100</v>
      </c>
      <c r="T17" s="1118" t="s">
        <v>1358</v>
      </c>
      <c r="U17" s="1119">
        <f>H17</f>
        <v>100</v>
      </c>
      <c r="V17" s="1118" t="s">
        <v>1358</v>
      </c>
      <c r="W17" s="1119">
        <f>J17</f>
        <v>100</v>
      </c>
      <c r="X17" s="1113"/>
      <c r="Y17" s="3406"/>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06"/>
      <c r="Q18" s="621"/>
      <c r="R18" s="1118"/>
      <c r="S18" s="1119"/>
      <c r="T18" s="1118"/>
      <c r="U18" s="1119"/>
      <c r="V18" s="1118"/>
      <c r="W18" s="1119"/>
      <c r="X18" s="1113"/>
      <c r="Y18" s="3406"/>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06"/>
      <c r="Q19" s="621" t="str">
        <f>B19</f>
        <v>公共配套设施</v>
      </c>
      <c r="R19" s="1118" t="s">
        <v>1358</v>
      </c>
      <c r="S19" s="1119">
        <f>F19</f>
        <v>100</v>
      </c>
      <c r="T19" s="1118" t="s">
        <v>1358</v>
      </c>
      <c r="U19" s="1119">
        <f>H19</f>
        <v>100</v>
      </c>
      <c r="V19" s="1118" t="s">
        <v>1358</v>
      </c>
      <c r="W19" s="1119">
        <f>J19</f>
        <v>100</v>
      </c>
      <c r="X19" s="1113"/>
      <c r="Y19" s="3406"/>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06"/>
      <c r="Q20" s="621"/>
      <c r="R20" s="1118"/>
      <c r="S20" s="1119"/>
      <c r="T20" s="1118"/>
      <c r="U20" s="1119"/>
      <c r="V20" s="1118"/>
      <c r="W20" s="1119"/>
      <c r="X20" s="1113"/>
      <c r="Y20" s="3406"/>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06"/>
      <c r="Q21" s="621" t="str">
        <f>B21</f>
        <v>基础设施水平</v>
      </c>
      <c r="R21" s="1118" t="s">
        <v>1358</v>
      </c>
      <c r="S21" s="1119">
        <f>F21</f>
        <v>100</v>
      </c>
      <c r="T21" s="1118" t="s">
        <v>1358</v>
      </c>
      <c r="U21" s="1119">
        <f>H21</f>
        <v>100</v>
      </c>
      <c r="V21" s="1118" t="s">
        <v>1358</v>
      </c>
      <c r="W21" s="1119">
        <f>J21</f>
        <v>100</v>
      </c>
      <c r="X21" s="1113"/>
      <c r="Y21" s="3406"/>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06"/>
      <c r="Q22" s="621"/>
      <c r="R22" s="1118"/>
      <c r="S22" s="1119"/>
      <c r="T22" s="1118"/>
      <c r="U22" s="1119"/>
      <c r="V22" s="1118"/>
      <c r="W22" s="1119"/>
      <c r="X22" s="1113"/>
      <c r="Y22" s="3406"/>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06"/>
      <c r="Q23" s="621" t="str">
        <f>B23</f>
        <v>环境质量</v>
      </c>
      <c r="R23" s="1118" t="s">
        <v>1358</v>
      </c>
      <c r="S23" s="1119">
        <f>F23</f>
        <v>100</v>
      </c>
      <c r="T23" s="1118" t="s">
        <v>1358</v>
      </c>
      <c r="U23" s="1119">
        <f>H23</f>
        <v>100</v>
      </c>
      <c r="V23" s="1118" t="s">
        <v>1358</v>
      </c>
      <c r="W23" s="1119">
        <f>J23</f>
        <v>100</v>
      </c>
      <c r="X23" s="1113"/>
      <c r="Y23" s="3406"/>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06"/>
      <c r="Q24" s="621"/>
      <c r="R24" s="1118"/>
      <c r="S24" s="1119"/>
      <c r="T24" s="1118"/>
      <c r="U24" s="1119"/>
      <c r="V24" s="1118"/>
      <c r="W24" s="1119"/>
      <c r="X24" s="1113"/>
      <c r="Y24" s="3406"/>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06"/>
      <c r="Q25" s="621">
        <f>B25</f>
        <v>111</v>
      </c>
      <c r="R25" s="1118" t="s">
        <v>1358</v>
      </c>
      <c r="S25" s="1119">
        <f>F25</f>
        <v>100</v>
      </c>
      <c r="T25" s="1118" t="s">
        <v>1358</v>
      </c>
      <c r="U25" s="1119">
        <f>H25</f>
        <v>100</v>
      </c>
      <c r="V25" s="1118" t="s">
        <v>1358</v>
      </c>
      <c r="W25" s="1119">
        <f>J25</f>
        <v>100</v>
      </c>
      <c r="X25" s="1113"/>
      <c r="Y25" s="3406"/>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06"/>
      <c r="Q26" s="621">
        <f t="shared" ref="Q26:Q40" si="11">B26</f>
        <v>111</v>
      </c>
      <c r="R26" s="1118" t="s">
        <v>1358</v>
      </c>
      <c r="S26" s="1119">
        <f>F26</f>
        <v>100</v>
      </c>
      <c r="T26" s="1118" t="s">
        <v>1358</v>
      </c>
      <c r="U26" s="1119">
        <f>H26</f>
        <v>100</v>
      </c>
      <c r="V26" s="1118" t="s">
        <v>1358</v>
      </c>
      <c r="W26" s="1119">
        <f>J26</f>
        <v>100</v>
      </c>
      <c r="X26" s="1113"/>
      <c r="Y26" s="3406"/>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06"/>
      <c r="Q27" s="790">
        <f t="shared" si="11"/>
        <v>111</v>
      </c>
      <c r="R27" s="1114" t="s">
        <v>1358</v>
      </c>
      <c r="S27" s="1115">
        <f>F27</f>
        <v>100</v>
      </c>
      <c r="T27" s="1114" t="s">
        <v>1358</v>
      </c>
      <c r="U27" s="1115">
        <f>H27</f>
        <v>100</v>
      </c>
      <c r="V27" s="1114" t="s">
        <v>1358</v>
      </c>
      <c r="W27" s="1115">
        <f>J27</f>
        <v>100</v>
      </c>
      <c r="X27" s="1116"/>
      <c r="Y27" s="3406"/>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06"/>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06"/>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1" t="s">
        <v>1384</v>
      </c>
      <c r="Q29" s="621" t="str">
        <f t="shared" si="11"/>
        <v>建筑类型</v>
      </c>
      <c r="R29" s="1118" t="s">
        <v>1358</v>
      </c>
      <c r="S29" s="1119">
        <f t="shared" si="12"/>
        <v>100</v>
      </c>
      <c r="T29" s="1118" t="s">
        <v>1358</v>
      </c>
      <c r="U29" s="1119">
        <f t="shared" si="13"/>
        <v>100</v>
      </c>
      <c r="V29" s="1118" t="s">
        <v>1358</v>
      </c>
      <c r="W29" s="1119">
        <f t="shared" si="14"/>
        <v>100</v>
      </c>
      <c r="X29" s="1113"/>
      <c r="Y29" s="3407"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07"/>
      <c r="Q30" s="1308" t="str">
        <f t="shared" si="11"/>
        <v>项目建筑规模</v>
      </c>
      <c r="R30" s="1120" t="s">
        <v>1358</v>
      </c>
      <c r="S30" s="1121" t="e">
        <f t="shared" si="12"/>
        <v>#N/A</v>
      </c>
      <c r="T30" s="1120" t="s">
        <v>1358</v>
      </c>
      <c r="U30" s="1121" t="e">
        <f t="shared" si="13"/>
        <v>#N/A</v>
      </c>
      <c r="V30" s="1120" t="s">
        <v>1358</v>
      </c>
      <c r="W30" s="1121" t="e">
        <f t="shared" si="14"/>
        <v>#N/A</v>
      </c>
      <c r="X30" s="1122"/>
      <c r="Y30" s="3407"/>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07"/>
      <c r="Q31" s="621" t="str">
        <f t="shared" si="11"/>
        <v>建筑结构</v>
      </c>
      <c r="R31" s="1118" t="s">
        <v>1358</v>
      </c>
      <c r="S31" s="1119">
        <f t="shared" si="12"/>
        <v>100</v>
      </c>
      <c r="T31" s="1118" t="s">
        <v>1358</v>
      </c>
      <c r="U31" s="1119">
        <f t="shared" si="13"/>
        <v>100</v>
      </c>
      <c r="V31" s="1118" t="s">
        <v>1358</v>
      </c>
      <c r="W31" s="1119">
        <f t="shared" si="14"/>
        <v>100</v>
      </c>
      <c r="X31" s="1113"/>
      <c r="Y31" s="3407"/>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07"/>
      <c r="Q32" s="621" t="str">
        <f t="shared" si="11"/>
        <v>公共部分装修</v>
      </c>
      <c r="R32" s="1118" t="s">
        <v>1358</v>
      </c>
      <c r="S32" s="1119">
        <f t="shared" si="12"/>
        <v>100</v>
      </c>
      <c r="T32" s="1118" t="s">
        <v>1358</v>
      </c>
      <c r="U32" s="1119">
        <f t="shared" si="13"/>
        <v>100</v>
      </c>
      <c r="V32" s="1118" t="s">
        <v>1358</v>
      </c>
      <c r="W32" s="1119">
        <f t="shared" si="14"/>
        <v>100</v>
      </c>
      <c r="X32" s="1113"/>
      <c r="Y32" s="3407"/>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07"/>
      <c r="Q33" s="621" t="str">
        <f t="shared" si="11"/>
        <v>成新度</v>
      </c>
      <c r="R33" s="1118" t="s">
        <v>1358</v>
      </c>
      <c r="S33" s="1119" t="e">
        <f t="shared" si="12"/>
        <v>#N/A</v>
      </c>
      <c r="T33" s="1118" t="s">
        <v>1358</v>
      </c>
      <c r="U33" s="1119" t="e">
        <f t="shared" si="13"/>
        <v>#N/A</v>
      </c>
      <c r="V33" s="1118" t="s">
        <v>1358</v>
      </c>
      <c r="W33" s="1119" t="e">
        <f t="shared" si="14"/>
        <v>#N/A</v>
      </c>
      <c r="X33" s="1113"/>
      <c r="Y33" s="3407"/>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07"/>
      <c r="Q34" s="790" t="str">
        <f t="shared" si="11"/>
        <v>物业管理</v>
      </c>
      <c r="R34" s="1114" t="s">
        <v>1358</v>
      </c>
      <c r="S34" s="1115">
        <f t="shared" si="12"/>
        <v>100</v>
      </c>
      <c r="T34" s="1114" t="s">
        <v>1358</v>
      </c>
      <c r="U34" s="1115">
        <f t="shared" si="13"/>
        <v>100</v>
      </c>
      <c r="V34" s="1114" t="s">
        <v>1358</v>
      </c>
      <c r="W34" s="1115">
        <f t="shared" si="14"/>
        <v>100</v>
      </c>
      <c r="X34" s="1116"/>
      <c r="Y34" s="3407"/>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07" t="s">
        <v>1384</v>
      </c>
      <c r="Q35" s="621" t="str">
        <f t="shared" si="11"/>
        <v>市政基础设施</v>
      </c>
      <c r="R35" s="1118" t="s">
        <v>1358</v>
      </c>
      <c r="S35" s="1119">
        <f t="shared" si="12"/>
        <v>100</v>
      </c>
      <c r="T35" s="1118" t="s">
        <v>1358</v>
      </c>
      <c r="U35" s="1119">
        <f t="shared" si="13"/>
        <v>100</v>
      </c>
      <c r="V35" s="1118" t="s">
        <v>1358</v>
      </c>
      <c r="W35" s="1119">
        <f t="shared" si="14"/>
        <v>100</v>
      </c>
      <c r="X35" s="1113"/>
      <c r="Y35" s="3407"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07"/>
      <c r="Q36" s="621" t="str">
        <f t="shared" si="11"/>
        <v>内部装修</v>
      </c>
      <c r="R36" s="1118" t="s">
        <v>1358</v>
      </c>
      <c r="S36" s="1119">
        <f t="shared" si="12"/>
        <v>100</v>
      </c>
      <c r="T36" s="1118" t="s">
        <v>1358</v>
      </c>
      <c r="U36" s="1119">
        <f t="shared" si="13"/>
        <v>100</v>
      </c>
      <c r="V36" s="1118" t="s">
        <v>1358</v>
      </c>
      <c r="W36" s="1119">
        <f t="shared" si="14"/>
        <v>100</v>
      </c>
      <c r="X36" s="1113"/>
      <c r="Y36" s="3407"/>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07"/>
      <c r="Q37" s="621" t="str">
        <f t="shared" si="11"/>
        <v>内部装修状况</v>
      </c>
      <c r="R37" s="1118" t="s">
        <v>1358</v>
      </c>
      <c r="S37" s="1119">
        <f t="shared" si="12"/>
        <v>100</v>
      </c>
      <c r="T37" s="1118" t="s">
        <v>1358</v>
      </c>
      <c r="U37" s="1119">
        <f t="shared" si="13"/>
        <v>100</v>
      </c>
      <c r="V37" s="1118" t="s">
        <v>1358</v>
      </c>
      <c r="W37" s="1119">
        <f t="shared" si="14"/>
        <v>100</v>
      </c>
      <c r="X37" s="1113"/>
      <c r="Y37" s="3407"/>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07"/>
      <c r="Q38" s="1308">
        <f t="shared" si="11"/>
        <v>111</v>
      </c>
      <c r="R38" s="1120" t="s">
        <v>1358</v>
      </c>
      <c r="S38" s="1121">
        <f t="shared" si="12"/>
        <v>100</v>
      </c>
      <c r="T38" s="1120" t="s">
        <v>1358</v>
      </c>
      <c r="U38" s="1121">
        <f t="shared" si="13"/>
        <v>100</v>
      </c>
      <c r="V38" s="1120" t="s">
        <v>1358</v>
      </c>
      <c r="W38" s="1121">
        <f t="shared" si="14"/>
        <v>100</v>
      </c>
      <c r="X38" s="1122"/>
      <c r="Y38" s="3407"/>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07"/>
      <c r="Q39" s="621">
        <f t="shared" si="11"/>
        <v>111</v>
      </c>
      <c r="R39" s="1118" t="s">
        <v>1358</v>
      </c>
      <c r="S39" s="1119">
        <f t="shared" si="12"/>
        <v>100</v>
      </c>
      <c r="T39" s="1118" t="s">
        <v>1358</v>
      </c>
      <c r="U39" s="1119">
        <f t="shared" si="13"/>
        <v>100</v>
      </c>
      <c r="V39" s="1118" t="s">
        <v>1358</v>
      </c>
      <c r="W39" s="1119">
        <f t="shared" si="14"/>
        <v>100</v>
      </c>
      <c r="X39" s="1113"/>
      <c r="Y39" s="3407"/>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08"/>
      <c r="Q40" s="621">
        <f t="shared" si="11"/>
        <v>111</v>
      </c>
      <c r="R40" s="1118" t="s">
        <v>1358</v>
      </c>
      <c r="S40" s="1119">
        <f t="shared" si="12"/>
        <v>100</v>
      </c>
      <c r="T40" s="1118" t="s">
        <v>1358</v>
      </c>
      <c r="U40" s="1119">
        <f t="shared" si="13"/>
        <v>100</v>
      </c>
      <c r="V40" s="1118" t="s">
        <v>1358</v>
      </c>
      <c r="W40" s="1119">
        <f t="shared" si="14"/>
        <v>100</v>
      </c>
      <c r="X40" s="1113"/>
      <c r="Y40" s="3408"/>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398" t="str">
        <f>A41</f>
        <v>成交单价（元/平方米）</v>
      </c>
      <c r="Q41" s="3398"/>
      <c r="R41" s="3399">
        <f>E41</f>
        <v>0</v>
      </c>
      <c r="S41" s="3399"/>
      <c r="T41" s="3399">
        <f>G41</f>
        <v>0</v>
      </c>
      <c r="U41" s="3399"/>
      <c r="V41" s="3399">
        <f>I41</f>
        <v>0</v>
      </c>
      <c r="W41" s="3399"/>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受贵公司委托，我公司对北京市朝阳区西大望路15号3号楼6层604房地产抵押价值进行了预评估。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413" t="s">
        <v>1349</v>
      </c>
      <c r="AC4" s="3437" t="s">
        <v>1350</v>
      </c>
    </row>
    <row r="5" spans="1:29">
      <c r="A5" s="922"/>
      <c r="B5" s="923"/>
      <c r="C5" s="3431" t="s">
        <v>1575</v>
      </c>
      <c r="D5" s="3388"/>
      <c r="E5" s="3432" t="s">
        <v>1576</v>
      </c>
      <c r="F5" s="3433"/>
      <c r="G5" s="3431" t="s">
        <v>1577</v>
      </c>
      <c r="H5" s="3388"/>
      <c r="I5" s="3431" t="s">
        <v>1353</v>
      </c>
      <c r="J5" s="3388"/>
      <c r="K5" s="1064"/>
      <c r="L5" s="1065"/>
      <c r="M5" s="1015"/>
      <c r="N5" s="1015"/>
      <c r="O5" s="1015"/>
      <c r="P5" s="3440"/>
      <c r="Q5" s="3421"/>
      <c r="R5" s="3426"/>
      <c r="S5" s="3427"/>
      <c r="T5" s="3426"/>
      <c r="U5" s="3427"/>
      <c r="V5" s="3399"/>
      <c r="W5" s="3399"/>
      <c r="X5" s="1113"/>
      <c r="Y5" s="3426"/>
      <c r="Z5" s="3427"/>
      <c r="AA5" s="3413"/>
      <c r="AB5" s="3413"/>
      <c r="AC5" s="3413"/>
    </row>
    <row r="6" spans="1:29" ht="14.4">
      <c r="A6" s="924"/>
      <c r="B6" s="925"/>
      <c r="C6" s="3389" t="s">
        <v>1354</v>
      </c>
      <c r="D6" s="3390"/>
      <c r="E6" s="3391" t="s">
        <v>1354</v>
      </c>
      <c r="F6" s="3392"/>
      <c r="G6" s="3389" t="s">
        <v>1354</v>
      </c>
      <c r="H6" s="3390"/>
      <c r="I6" s="3389" t="s">
        <v>1354</v>
      </c>
      <c r="J6" s="3390"/>
      <c r="K6" s="1064" t="s">
        <v>1355</v>
      </c>
      <c r="L6" s="1065"/>
      <c r="M6" s="1015"/>
      <c r="N6" s="1015"/>
      <c r="O6" s="1015"/>
      <c r="P6" s="3441"/>
      <c r="Q6" s="3423"/>
      <c r="R6" s="3426"/>
      <c r="S6" s="3427"/>
      <c r="T6" s="3428"/>
      <c r="U6" s="3429"/>
      <c r="V6" s="3399"/>
      <c r="W6" s="3399"/>
      <c r="X6" s="1113"/>
      <c r="Y6" s="3428"/>
      <c r="Z6" s="3429"/>
      <c r="AA6" s="3414"/>
      <c r="AB6" s="3414"/>
      <c r="AC6" s="3414"/>
    </row>
    <row r="7" spans="1:29" s="899" customFormat="1" ht="14.4">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395" t="s">
        <v>1357</v>
      </c>
      <c r="Q7" s="3394"/>
      <c r="R7" s="1114" t="s">
        <v>1358</v>
      </c>
      <c r="S7" s="1115">
        <f t="shared" ref="S7:S14" si="0">F7</f>
        <v>0</v>
      </c>
      <c r="T7" s="1114" t="s">
        <v>1358</v>
      </c>
      <c r="U7" s="1115">
        <f t="shared" ref="U7:U14" si="1">H7</f>
        <v>0</v>
      </c>
      <c r="V7" s="1114" t="s">
        <v>1358</v>
      </c>
      <c r="W7" s="1115">
        <f t="shared" ref="W7:W14" si="2">J7</f>
        <v>0</v>
      </c>
      <c r="X7" s="1116"/>
      <c r="Y7" s="3395" t="s">
        <v>1357</v>
      </c>
      <c r="Z7" s="3396"/>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395" t="s">
        <v>1361</v>
      </c>
      <c r="Q8" s="3396"/>
      <c r="R8" s="1114" t="s">
        <v>1358</v>
      </c>
      <c r="S8" s="1115">
        <f t="shared" si="0"/>
        <v>100</v>
      </c>
      <c r="T8" s="1114" t="s">
        <v>1358</v>
      </c>
      <c r="U8" s="1115">
        <f t="shared" si="1"/>
        <v>100</v>
      </c>
      <c r="V8" s="1114" t="s">
        <v>1358</v>
      </c>
      <c r="W8" s="1115">
        <f t="shared" si="2"/>
        <v>100</v>
      </c>
      <c r="X8" s="1116"/>
      <c r="Y8" s="3395" t="s">
        <v>1361</v>
      </c>
      <c r="Z8" s="3396"/>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8" t="s">
        <v>1364</v>
      </c>
      <c r="Q9" s="790" t="str">
        <f t="shared" ref="Q9:Q14" si="6">B9</f>
        <v>用途</v>
      </c>
      <c r="R9" s="1114" t="s">
        <v>1358</v>
      </c>
      <c r="S9" s="1115">
        <f t="shared" si="0"/>
        <v>100</v>
      </c>
      <c r="T9" s="1114" t="s">
        <v>1358</v>
      </c>
      <c r="U9" s="1115">
        <f t="shared" si="1"/>
        <v>100</v>
      </c>
      <c r="V9" s="1114" t="s">
        <v>1358</v>
      </c>
      <c r="W9" s="1115">
        <f t="shared" si="2"/>
        <v>100</v>
      </c>
      <c r="X9" s="1116"/>
      <c r="Y9" s="3369"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8"/>
      <c r="Q10" s="790" t="str">
        <f t="shared" si="6"/>
        <v>土地使用年限（年）</v>
      </c>
      <c r="R10" s="1114" t="s">
        <v>1358</v>
      </c>
      <c r="S10" s="1115">
        <f t="shared" si="0"/>
        <v>100</v>
      </c>
      <c r="T10" s="1114" t="s">
        <v>1358</v>
      </c>
      <c r="U10" s="1115">
        <f t="shared" si="1"/>
        <v>100</v>
      </c>
      <c r="V10" s="1114" t="s">
        <v>1358</v>
      </c>
      <c r="W10" s="1115">
        <f t="shared" si="2"/>
        <v>100</v>
      </c>
      <c r="X10" s="1116"/>
      <c r="Y10" s="3369"/>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8"/>
      <c r="Q11" s="790">
        <f t="shared" si="6"/>
        <v>111</v>
      </c>
      <c r="R11" s="1114" t="s">
        <v>1358</v>
      </c>
      <c r="S11" s="1115">
        <f t="shared" si="0"/>
        <v>100</v>
      </c>
      <c r="T11" s="1114" t="s">
        <v>1358</v>
      </c>
      <c r="U11" s="1115">
        <f t="shared" si="1"/>
        <v>100</v>
      </c>
      <c r="V11" s="1114" t="s">
        <v>1358</v>
      </c>
      <c r="W11" s="1115">
        <f t="shared" si="2"/>
        <v>100</v>
      </c>
      <c r="X11" s="1116"/>
      <c r="Y11" s="3369"/>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8"/>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8"/>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05" t="s">
        <v>1370</v>
      </c>
      <c r="Q14" s="621" t="str">
        <f t="shared" si="6"/>
        <v>交通便捷度</v>
      </c>
      <c r="R14" s="1118" t="s">
        <v>1358</v>
      </c>
      <c r="S14" s="1119">
        <f t="shared" si="0"/>
        <v>100</v>
      </c>
      <c r="T14" s="1118" t="s">
        <v>1358</v>
      </c>
      <c r="U14" s="1119">
        <f t="shared" si="1"/>
        <v>100</v>
      </c>
      <c r="V14" s="1118" t="s">
        <v>1358</v>
      </c>
      <c r="W14" s="1119">
        <f t="shared" si="2"/>
        <v>100</v>
      </c>
      <c r="X14" s="1113"/>
      <c r="Y14" s="3405"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06"/>
      <c r="Q15" s="621"/>
      <c r="R15" s="1118"/>
      <c r="S15" s="1119"/>
      <c r="T15" s="1118"/>
      <c r="U15" s="1119"/>
      <c r="V15" s="1118"/>
      <c r="W15" s="1119"/>
      <c r="X15" s="1113"/>
      <c r="Y15" s="3406"/>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06"/>
      <c r="Q16" s="621" t="str">
        <f>B16</f>
        <v>公共配套设施</v>
      </c>
      <c r="R16" s="1118" t="s">
        <v>1358</v>
      </c>
      <c r="S16" s="1119">
        <f>F16</f>
        <v>100</v>
      </c>
      <c r="T16" s="1118" t="s">
        <v>1358</v>
      </c>
      <c r="U16" s="1119">
        <f>H16</f>
        <v>100</v>
      </c>
      <c r="V16" s="1118" t="s">
        <v>1358</v>
      </c>
      <c r="W16" s="1119">
        <f>J16</f>
        <v>100</v>
      </c>
      <c r="X16" s="1113"/>
      <c r="Y16" s="3406"/>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06"/>
      <c r="Q17" s="621"/>
      <c r="R17" s="1118"/>
      <c r="S17" s="1119"/>
      <c r="T17" s="1118"/>
      <c r="U17" s="1119"/>
      <c r="V17" s="1118"/>
      <c r="W17" s="1119"/>
      <c r="X17" s="1113"/>
      <c r="Y17" s="3406"/>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06"/>
      <c r="Q18" s="621" t="str">
        <f>B18</f>
        <v>基础设施水平</v>
      </c>
      <c r="R18" s="1118" t="s">
        <v>1358</v>
      </c>
      <c r="S18" s="1119">
        <f>F18</f>
        <v>100</v>
      </c>
      <c r="T18" s="1118" t="s">
        <v>1358</v>
      </c>
      <c r="U18" s="1119">
        <f>H18</f>
        <v>100</v>
      </c>
      <c r="V18" s="1118" t="s">
        <v>1358</v>
      </c>
      <c r="W18" s="1119">
        <f>J18</f>
        <v>100</v>
      </c>
      <c r="X18" s="1113"/>
      <c r="Y18" s="3406"/>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06"/>
      <c r="Q19" s="621"/>
      <c r="R19" s="1118"/>
      <c r="S19" s="1119"/>
      <c r="T19" s="1118"/>
      <c r="U19" s="1119"/>
      <c r="V19" s="1118"/>
      <c r="W19" s="1119"/>
      <c r="X19" s="1113"/>
      <c r="Y19" s="3406"/>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06"/>
      <c r="Q20" s="621" t="str">
        <f>B20</f>
        <v>自然及人文环境</v>
      </c>
      <c r="R20" s="1118" t="s">
        <v>1358</v>
      </c>
      <c r="S20" s="1119">
        <f>F20</f>
        <v>100</v>
      </c>
      <c r="T20" s="1118" t="s">
        <v>1358</v>
      </c>
      <c r="U20" s="1119">
        <f>H20</f>
        <v>100</v>
      </c>
      <c r="V20" s="1118" t="s">
        <v>1358</v>
      </c>
      <c r="W20" s="1119">
        <f>J20</f>
        <v>100</v>
      </c>
      <c r="X20" s="1113"/>
      <c r="Y20" s="3406"/>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06"/>
      <c r="Q21" s="621"/>
      <c r="R21" s="1118"/>
      <c r="S21" s="1119"/>
      <c r="T21" s="1118"/>
      <c r="U21" s="1119"/>
      <c r="V21" s="1118"/>
      <c r="W21" s="1119"/>
      <c r="X21" s="1113"/>
      <c r="Y21" s="3406"/>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06"/>
      <c r="Q22" s="621" t="str">
        <f>B22</f>
        <v>楼层</v>
      </c>
      <c r="R22" s="1118" t="s">
        <v>1358</v>
      </c>
      <c r="S22" s="1119">
        <f>F22</f>
        <v>100</v>
      </c>
      <c r="T22" s="1118" t="s">
        <v>1358</v>
      </c>
      <c r="U22" s="1119">
        <f>H22</f>
        <v>100</v>
      </c>
      <c r="V22" s="1118" t="s">
        <v>1358</v>
      </c>
      <c r="W22" s="1119">
        <f>J22</f>
        <v>100</v>
      </c>
      <c r="X22" s="1113"/>
      <c r="Y22" s="3406"/>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06"/>
      <c r="Q23" s="621">
        <f>B23</f>
        <v>111</v>
      </c>
      <c r="R23" s="1118" t="s">
        <v>1358</v>
      </c>
      <c r="S23" s="1119">
        <f>F23</f>
        <v>100</v>
      </c>
      <c r="T23" s="1118" t="s">
        <v>1358</v>
      </c>
      <c r="U23" s="1119">
        <f>H23</f>
        <v>100</v>
      </c>
      <c r="V23" s="1118" t="s">
        <v>1358</v>
      </c>
      <c r="W23" s="1119">
        <f>J23</f>
        <v>100</v>
      </c>
      <c r="X23" s="1113"/>
      <c r="Y23" s="3406"/>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06"/>
      <c r="Q24" s="621">
        <f t="shared" ref="Q24:Q36" si="11">B24</f>
        <v>111</v>
      </c>
      <c r="R24" s="1118" t="s">
        <v>1358</v>
      </c>
      <c r="S24" s="1119">
        <f>F24</f>
        <v>100</v>
      </c>
      <c r="T24" s="1118" t="s">
        <v>1358</v>
      </c>
      <c r="U24" s="1119">
        <f>H24</f>
        <v>100</v>
      </c>
      <c r="V24" s="1118" t="s">
        <v>1358</v>
      </c>
      <c r="W24" s="1119">
        <f>J24</f>
        <v>100</v>
      </c>
      <c r="X24" s="1113"/>
      <c r="Y24" s="3406"/>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06"/>
      <c r="Q25" s="790">
        <f t="shared" si="11"/>
        <v>111</v>
      </c>
      <c r="R25" s="1114" t="s">
        <v>1358</v>
      </c>
      <c r="S25" s="1115">
        <f>F25</f>
        <v>100</v>
      </c>
      <c r="T25" s="1114" t="s">
        <v>1358</v>
      </c>
      <c r="U25" s="1115">
        <f>H25</f>
        <v>100</v>
      </c>
      <c r="V25" s="1114" t="s">
        <v>1358</v>
      </c>
      <c r="W25" s="1115">
        <f>J25</f>
        <v>100</v>
      </c>
      <c r="X25" s="1116"/>
      <c r="Y25" s="3406"/>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1"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07"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07"/>
      <c r="Q27" s="1308" t="str">
        <f t="shared" si="11"/>
        <v>项目停车位配比</v>
      </c>
      <c r="R27" s="1120" t="s">
        <v>1358</v>
      </c>
      <c r="S27" s="1121">
        <f t="shared" si="12"/>
        <v>100</v>
      </c>
      <c r="T27" s="1120" t="s">
        <v>1358</v>
      </c>
      <c r="U27" s="1121">
        <f t="shared" si="13"/>
        <v>100</v>
      </c>
      <c r="V27" s="1120" t="s">
        <v>1358</v>
      </c>
      <c r="W27" s="1121">
        <f t="shared" si="14"/>
        <v>100</v>
      </c>
      <c r="X27" s="1122"/>
      <c r="Y27" s="3407"/>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07"/>
      <c r="Q28" s="621" t="str">
        <f t="shared" si="11"/>
        <v>公共部分装修</v>
      </c>
      <c r="R28" s="1118" t="s">
        <v>1358</v>
      </c>
      <c r="S28" s="1119">
        <f t="shared" si="12"/>
        <v>100</v>
      </c>
      <c r="T28" s="1118" t="s">
        <v>1358</v>
      </c>
      <c r="U28" s="1119">
        <f t="shared" si="13"/>
        <v>100</v>
      </c>
      <c r="V28" s="1118" t="s">
        <v>1358</v>
      </c>
      <c r="W28" s="1119">
        <f t="shared" si="14"/>
        <v>100</v>
      </c>
      <c r="X28" s="1113"/>
      <c r="Y28" s="3407"/>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07"/>
      <c r="Q29" s="621" t="str">
        <f t="shared" si="11"/>
        <v>成新率</v>
      </c>
      <c r="R29" s="1118" t="s">
        <v>1358</v>
      </c>
      <c r="S29" s="1119" t="e">
        <f t="shared" si="12"/>
        <v>#N/A</v>
      </c>
      <c r="T29" s="1118" t="s">
        <v>1358</v>
      </c>
      <c r="U29" s="1119" t="e">
        <f t="shared" si="13"/>
        <v>#N/A</v>
      </c>
      <c r="V29" s="1118" t="s">
        <v>1358</v>
      </c>
      <c r="W29" s="1119" t="e">
        <f t="shared" si="14"/>
        <v>#N/A</v>
      </c>
      <c r="X29" s="1113"/>
      <c r="Y29" s="3407"/>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07"/>
      <c r="Q30" s="621" t="str">
        <f t="shared" si="11"/>
        <v>物业等级</v>
      </c>
      <c r="R30" s="1118" t="s">
        <v>1358</v>
      </c>
      <c r="S30" s="1119">
        <f t="shared" si="12"/>
        <v>100</v>
      </c>
      <c r="T30" s="1118" t="s">
        <v>1358</v>
      </c>
      <c r="U30" s="1119">
        <f t="shared" si="13"/>
        <v>100</v>
      </c>
      <c r="V30" s="1118" t="s">
        <v>1358</v>
      </c>
      <c r="W30" s="1119">
        <f t="shared" si="14"/>
        <v>100</v>
      </c>
      <c r="X30" s="1113"/>
      <c r="Y30" s="3407"/>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07"/>
      <c r="Q31" s="790" t="str">
        <f t="shared" si="11"/>
        <v>停车位面积</v>
      </c>
      <c r="R31" s="1114" t="s">
        <v>1358</v>
      </c>
      <c r="S31" s="1115" t="e">
        <f t="shared" si="12"/>
        <v>#N/A</v>
      </c>
      <c r="T31" s="1114" t="s">
        <v>1358</v>
      </c>
      <c r="U31" s="1115" t="e">
        <f t="shared" si="13"/>
        <v>#N/A</v>
      </c>
      <c r="V31" s="1114" t="s">
        <v>1358</v>
      </c>
      <c r="W31" s="1115" t="e">
        <f t="shared" si="14"/>
        <v>#N/A</v>
      </c>
      <c r="X31" s="1116"/>
      <c r="Y31" s="3407"/>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07" t="s">
        <v>1384</v>
      </c>
      <c r="Q32" s="621" t="str">
        <f t="shared" si="11"/>
        <v>车位类型</v>
      </c>
      <c r="R32" s="1118" t="s">
        <v>1358</v>
      </c>
      <c r="S32" s="1119">
        <f t="shared" si="12"/>
        <v>100</v>
      </c>
      <c r="T32" s="1118" t="s">
        <v>1358</v>
      </c>
      <c r="U32" s="1119">
        <f t="shared" si="13"/>
        <v>100</v>
      </c>
      <c r="V32" s="1118" t="s">
        <v>1358</v>
      </c>
      <c r="W32" s="1119">
        <f t="shared" si="14"/>
        <v>100</v>
      </c>
      <c r="X32" s="1113"/>
      <c r="Y32" s="3407"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07"/>
      <c r="Q33" s="621" t="str">
        <f t="shared" si="11"/>
        <v>是否直接入户</v>
      </c>
      <c r="R33" s="1118" t="s">
        <v>1358</v>
      </c>
      <c r="S33" s="1119">
        <f t="shared" si="12"/>
        <v>100</v>
      </c>
      <c r="T33" s="1118" t="s">
        <v>1358</v>
      </c>
      <c r="U33" s="1119">
        <f t="shared" si="13"/>
        <v>100</v>
      </c>
      <c r="V33" s="1118" t="s">
        <v>1358</v>
      </c>
      <c r="W33" s="1119">
        <f t="shared" si="14"/>
        <v>100</v>
      </c>
      <c r="X33" s="1113"/>
      <c r="Y33" s="3407"/>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07"/>
      <c r="Q34" s="621">
        <f t="shared" si="11"/>
        <v>111</v>
      </c>
      <c r="R34" s="1118" t="s">
        <v>1358</v>
      </c>
      <c r="S34" s="1119">
        <f t="shared" si="12"/>
        <v>100</v>
      </c>
      <c r="T34" s="1118" t="s">
        <v>1358</v>
      </c>
      <c r="U34" s="1119">
        <f t="shared" si="13"/>
        <v>100</v>
      </c>
      <c r="V34" s="1118" t="s">
        <v>1358</v>
      </c>
      <c r="W34" s="1119">
        <f t="shared" si="14"/>
        <v>100</v>
      </c>
      <c r="X34" s="1113"/>
      <c r="Y34" s="3407"/>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07"/>
      <c r="Q35" s="1308">
        <f t="shared" si="11"/>
        <v>111</v>
      </c>
      <c r="R35" s="1120" t="s">
        <v>1358</v>
      </c>
      <c r="S35" s="1121">
        <f t="shared" si="12"/>
        <v>100</v>
      </c>
      <c r="T35" s="1120" t="s">
        <v>1358</v>
      </c>
      <c r="U35" s="1121">
        <f t="shared" si="13"/>
        <v>100</v>
      </c>
      <c r="V35" s="1120" t="s">
        <v>1358</v>
      </c>
      <c r="W35" s="1121">
        <f t="shared" si="14"/>
        <v>100</v>
      </c>
      <c r="X35" s="1122"/>
      <c r="Y35" s="3407"/>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07"/>
      <c r="Q36" s="621">
        <f t="shared" si="11"/>
        <v>111</v>
      </c>
      <c r="R36" s="1118" t="s">
        <v>1358</v>
      </c>
      <c r="S36" s="1119">
        <f t="shared" si="12"/>
        <v>100</v>
      </c>
      <c r="T36" s="1118" t="s">
        <v>1358</v>
      </c>
      <c r="U36" s="1119">
        <f t="shared" si="13"/>
        <v>100</v>
      </c>
      <c r="V36" s="1118" t="s">
        <v>1358</v>
      </c>
      <c r="W36" s="1119">
        <f t="shared" si="14"/>
        <v>100</v>
      </c>
      <c r="X36" s="1113"/>
      <c r="Y36" s="3407"/>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398" t="str">
        <f>A37</f>
        <v>成交单价</v>
      </c>
      <c r="Q37" s="3398"/>
      <c r="R37" s="3399">
        <f>E37</f>
        <v>0</v>
      </c>
      <c r="S37" s="3399"/>
      <c r="T37" s="3399">
        <f>G37</f>
        <v>0</v>
      </c>
      <c r="U37" s="3399"/>
      <c r="V37" s="3399">
        <f>I37</f>
        <v>0</v>
      </c>
      <c r="W37" s="3399"/>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34" t="str">
        <f>A39</f>
        <v>估价对象XX用房的比较价值（楼面单价，元/平方米）</v>
      </c>
      <c r="Q39" s="3435"/>
      <c r="R39" s="3472" t="e">
        <f>IF(F1="售价",ROUND(IF(D38="简单平均",AVERAGE(R38:W38),R38*F38+T38*H38+V38*J38),0),ROUND(IF(D38="简单平均",AVERAGE(R38:V38),R38*F38+T38*H38+V38*J38),1))</f>
        <v>#DIV/0!</v>
      </c>
      <c r="S39" s="3472"/>
      <c r="T39" s="3472"/>
      <c r="U39" s="3472"/>
      <c r="V39" s="3472"/>
      <c r="W39" s="3472"/>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413" t="s">
        <v>1349</v>
      </c>
      <c r="AC4" s="3437" t="s">
        <v>1350</v>
      </c>
    </row>
    <row r="5" spans="1:29">
      <c r="A5" s="922"/>
      <c r="B5" s="923"/>
      <c r="C5" s="3431" t="s">
        <v>1575</v>
      </c>
      <c r="D5" s="3388"/>
      <c r="E5" s="3432" t="s">
        <v>1576</v>
      </c>
      <c r="F5" s="3433"/>
      <c r="G5" s="3431" t="s">
        <v>1577</v>
      </c>
      <c r="H5" s="3388"/>
      <c r="I5" s="3431" t="s">
        <v>1353</v>
      </c>
      <c r="J5" s="3388"/>
      <c r="K5" s="1064"/>
      <c r="L5" s="1065"/>
      <c r="M5" s="1015"/>
      <c r="N5" s="1015"/>
      <c r="O5" s="1015"/>
      <c r="P5" s="3440"/>
      <c r="Q5" s="3421"/>
      <c r="R5" s="3426"/>
      <c r="S5" s="3427"/>
      <c r="T5" s="3426"/>
      <c r="U5" s="3427"/>
      <c r="V5" s="3399"/>
      <c r="W5" s="3399"/>
      <c r="X5" s="1113"/>
      <c r="Y5" s="3426"/>
      <c r="Z5" s="3427"/>
      <c r="AA5" s="3413"/>
      <c r="AB5" s="3413"/>
      <c r="AC5" s="3413"/>
    </row>
    <row r="6" spans="1:29" ht="14.4">
      <c r="A6" s="924"/>
      <c r="B6" s="925"/>
      <c r="C6" s="3389" t="s">
        <v>1354</v>
      </c>
      <c r="D6" s="3390"/>
      <c r="E6" s="3391" t="s">
        <v>1354</v>
      </c>
      <c r="F6" s="3392"/>
      <c r="G6" s="3389" t="s">
        <v>1354</v>
      </c>
      <c r="H6" s="3390"/>
      <c r="I6" s="3389" t="s">
        <v>1354</v>
      </c>
      <c r="J6" s="3390"/>
      <c r="K6" s="1064" t="s">
        <v>1355</v>
      </c>
      <c r="L6" s="1065"/>
      <c r="M6" s="1015"/>
      <c r="N6" s="1015"/>
      <c r="O6" s="1015"/>
      <c r="P6" s="3441"/>
      <c r="Q6" s="3423"/>
      <c r="R6" s="3426"/>
      <c r="S6" s="3427"/>
      <c r="T6" s="3428"/>
      <c r="U6" s="3429"/>
      <c r="V6" s="3399"/>
      <c r="W6" s="3399"/>
      <c r="X6" s="1113"/>
      <c r="Y6" s="3428"/>
      <c r="Z6" s="3429"/>
      <c r="AA6" s="3414"/>
      <c r="AB6" s="3414"/>
      <c r="AC6" s="3414"/>
    </row>
    <row r="7" spans="1:29" s="899" customFormat="1" ht="14.4">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395" t="s">
        <v>1357</v>
      </c>
      <c r="Q7" s="3394"/>
      <c r="R7" s="1114" t="s">
        <v>1358</v>
      </c>
      <c r="S7" s="1115">
        <f t="shared" ref="S7:S14" si="0">F7</f>
        <v>0</v>
      </c>
      <c r="T7" s="1114" t="s">
        <v>1358</v>
      </c>
      <c r="U7" s="1115">
        <f t="shared" ref="U7:U14" si="1">H7</f>
        <v>0</v>
      </c>
      <c r="V7" s="1114" t="s">
        <v>1358</v>
      </c>
      <c r="W7" s="1115">
        <f t="shared" ref="W7:W14" si="2">J7</f>
        <v>0</v>
      </c>
      <c r="X7" s="1116"/>
      <c r="Y7" s="3395" t="s">
        <v>1357</v>
      </c>
      <c r="Z7" s="3396"/>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395" t="s">
        <v>1361</v>
      </c>
      <c r="Q8" s="3396"/>
      <c r="R8" s="1114" t="s">
        <v>1358</v>
      </c>
      <c r="S8" s="1115">
        <f t="shared" si="0"/>
        <v>100</v>
      </c>
      <c r="T8" s="1114" t="s">
        <v>1358</v>
      </c>
      <c r="U8" s="1115">
        <f t="shared" si="1"/>
        <v>100</v>
      </c>
      <c r="V8" s="1114" t="s">
        <v>1358</v>
      </c>
      <c r="W8" s="1115">
        <f t="shared" si="2"/>
        <v>100</v>
      </c>
      <c r="X8" s="1116"/>
      <c r="Y8" s="3395" t="s">
        <v>1361</v>
      </c>
      <c r="Z8" s="3396"/>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8" t="s">
        <v>1364</v>
      </c>
      <c r="Q9" s="790" t="str">
        <f t="shared" ref="Q9:Q14" si="6">B9</f>
        <v>用途</v>
      </c>
      <c r="R9" s="1114" t="s">
        <v>1358</v>
      </c>
      <c r="S9" s="1115">
        <f t="shared" si="0"/>
        <v>100</v>
      </c>
      <c r="T9" s="1114" t="s">
        <v>1358</v>
      </c>
      <c r="U9" s="1115">
        <f t="shared" si="1"/>
        <v>100</v>
      </c>
      <c r="V9" s="1114" t="s">
        <v>1358</v>
      </c>
      <c r="W9" s="1115">
        <f t="shared" si="2"/>
        <v>100</v>
      </c>
      <c r="X9" s="1116"/>
      <c r="Y9" s="3369"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8"/>
      <c r="Q10" s="790" t="str">
        <f t="shared" si="6"/>
        <v>土地使用年限（年）</v>
      </c>
      <c r="R10" s="1114" t="s">
        <v>1358</v>
      </c>
      <c r="S10" s="1115">
        <f t="shared" si="0"/>
        <v>100</v>
      </c>
      <c r="T10" s="1114" t="s">
        <v>1358</v>
      </c>
      <c r="U10" s="1115">
        <f t="shared" si="1"/>
        <v>100</v>
      </c>
      <c r="V10" s="1114" t="s">
        <v>1358</v>
      </c>
      <c r="W10" s="1115">
        <f t="shared" si="2"/>
        <v>100</v>
      </c>
      <c r="X10" s="1116"/>
      <c r="Y10" s="3369"/>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8"/>
      <c r="Q11" s="790">
        <f t="shared" si="6"/>
        <v>111</v>
      </c>
      <c r="R11" s="1114" t="s">
        <v>1358</v>
      </c>
      <c r="S11" s="1115">
        <f t="shared" si="0"/>
        <v>100</v>
      </c>
      <c r="T11" s="1114" t="s">
        <v>1358</v>
      </c>
      <c r="U11" s="1115">
        <f t="shared" si="1"/>
        <v>100</v>
      </c>
      <c r="V11" s="1114" t="s">
        <v>1358</v>
      </c>
      <c r="W11" s="1115">
        <f t="shared" si="2"/>
        <v>100</v>
      </c>
      <c r="X11" s="1116"/>
      <c r="Y11" s="3369"/>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8"/>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8"/>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05" t="s">
        <v>1370</v>
      </c>
      <c r="Q14" s="621" t="str">
        <f t="shared" si="6"/>
        <v>交通便捷度</v>
      </c>
      <c r="R14" s="1118" t="s">
        <v>1358</v>
      </c>
      <c r="S14" s="1119">
        <f t="shared" si="0"/>
        <v>100</v>
      </c>
      <c r="T14" s="1118" t="s">
        <v>1358</v>
      </c>
      <c r="U14" s="1119">
        <f t="shared" si="1"/>
        <v>100</v>
      </c>
      <c r="V14" s="1118" t="s">
        <v>1358</v>
      </c>
      <c r="W14" s="1119">
        <f t="shared" si="2"/>
        <v>100</v>
      </c>
      <c r="X14" s="1113"/>
      <c r="Y14" s="3405"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06"/>
      <c r="Q15" s="621"/>
      <c r="R15" s="1118"/>
      <c r="S15" s="1119"/>
      <c r="T15" s="1118"/>
      <c r="U15" s="1119"/>
      <c r="V15" s="1118"/>
      <c r="W15" s="1119"/>
      <c r="X15" s="1113"/>
      <c r="Y15" s="3406"/>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06"/>
      <c r="Q16" s="621" t="str">
        <f>B16</f>
        <v>公共配套设施</v>
      </c>
      <c r="R16" s="1118" t="s">
        <v>1358</v>
      </c>
      <c r="S16" s="1119">
        <f>F16</f>
        <v>100</v>
      </c>
      <c r="T16" s="1118" t="s">
        <v>1358</v>
      </c>
      <c r="U16" s="1119">
        <f>H16</f>
        <v>100</v>
      </c>
      <c r="V16" s="1118" t="s">
        <v>1358</v>
      </c>
      <c r="W16" s="1119">
        <f>J16</f>
        <v>100</v>
      </c>
      <c r="X16" s="1113"/>
      <c r="Y16" s="3406"/>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06"/>
      <c r="Q17" s="621"/>
      <c r="R17" s="1118"/>
      <c r="S17" s="1119"/>
      <c r="T17" s="1118"/>
      <c r="U17" s="1119"/>
      <c r="V17" s="1118"/>
      <c r="W17" s="1119"/>
      <c r="X17" s="1113"/>
      <c r="Y17" s="3406"/>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06"/>
      <c r="Q18" s="621" t="str">
        <f>B18</f>
        <v>基础设施水平</v>
      </c>
      <c r="R18" s="1118" t="s">
        <v>1358</v>
      </c>
      <c r="S18" s="1119">
        <f>F18</f>
        <v>100</v>
      </c>
      <c r="T18" s="1118" t="s">
        <v>1358</v>
      </c>
      <c r="U18" s="1119">
        <f>H18</f>
        <v>100</v>
      </c>
      <c r="V18" s="1118" t="s">
        <v>1358</v>
      </c>
      <c r="W18" s="1119">
        <f>J18</f>
        <v>100</v>
      </c>
      <c r="X18" s="1113"/>
      <c r="Y18" s="3406"/>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06"/>
      <c r="Q19" s="621"/>
      <c r="R19" s="1118"/>
      <c r="S19" s="1119"/>
      <c r="T19" s="1118"/>
      <c r="U19" s="1119"/>
      <c r="V19" s="1118"/>
      <c r="W19" s="1119"/>
      <c r="X19" s="1113"/>
      <c r="Y19" s="3406"/>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06"/>
      <c r="Q20" s="621" t="str">
        <f>B20</f>
        <v>自然及人文环境</v>
      </c>
      <c r="R20" s="1118" t="s">
        <v>1358</v>
      </c>
      <c r="S20" s="1119">
        <f>F20</f>
        <v>100</v>
      </c>
      <c r="T20" s="1118" t="s">
        <v>1358</v>
      </c>
      <c r="U20" s="1119">
        <f>H20</f>
        <v>100</v>
      </c>
      <c r="V20" s="1118" t="s">
        <v>1358</v>
      </c>
      <c r="W20" s="1119">
        <f>J20</f>
        <v>100</v>
      </c>
      <c r="X20" s="1113"/>
      <c r="Y20" s="3406"/>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06"/>
      <c r="Q21" s="621"/>
      <c r="R21" s="1118"/>
      <c r="S21" s="1119"/>
      <c r="T21" s="1118"/>
      <c r="U21" s="1119"/>
      <c r="V21" s="1118"/>
      <c r="W21" s="1119"/>
      <c r="X21" s="1113"/>
      <c r="Y21" s="3406"/>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06"/>
      <c r="Q22" s="621" t="str">
        <f>B22</f>
        <v>楼层</v>
      </c>
      <c r="R22" s="1118" t="s">
        <v>1358</v>
      </c>
      <c r="S22" s="1119">
        <f>F22</f>
        <v>100</v>
      </c>
      <c r="T22" s="1118" t="s">
        <v>1358</v>
      </c>
      <c r="U22" s="1119">
        <f>H22</f>
        <v>100</v>
      </c>
      <c r="V22" s="1118" t="s">
        <v>1358</v>
      </c>
      <c r="W22" s="1119">
        <f>J22</f>
        <v>100</v>
      </c>
      <c r="X22" s="1113"/>
      <c r="Y22" s="3406"/>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06"/>
      <c r="Q23" s="621">
        <f>B23</f>
        <v>111</v>
      </c>
      <c r="R23" s="1118" t="s">
        <v>1358</v>
      </c>
      <c r="S23" s="1119">
        <f>F23</f>
        <v>100</v>
      </c>
      <c r="T23" s="1118" t="s">
        <v>1358</v>
      </c>
      <c r="U23" s="1119">
        <f>H23</f>
        <v>100</v>
      </c>
      <c r="V23" s="1118" t="s">
        <v>1358</v>
      </c>
      <c r="W23" s="1119">
        <f>J23</f>
        <v>100</v>
      </c>
      <c r="X23" s="1113"/>
      <c r="Y23" s="3406"/>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06"/>
      <c r="Q24" s="621">
        <f t="shared" ref="Q24:Q34" si="11">B24</f>
        <v>111</v>
      </c>
      <c r="R24" s="1118" t="s">
        <v>1358</v>
      </c>
      <c r="S24" s="1119">
        <f>F24</f>
        <v>100</v>
      </c>
      <c r="T24" s="1118" t="s">
        <v>1358</v>
      </c>
      <c r="U24" s="1119">
        <f>H24</f>
        <v>100</v>
      </c>
      <c r="V24" s="1118" t="s">
        <v>1358</v>
      </c>
      <c r="W24" s="1119">
        <f>J24</f>
        <v>100</v>
      </c>
      <c r="X24" s="1113"/>
      <c r="Y24" s="3406"/>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06"/>
      <c r="Q25" s="790">
        <f t="shared" si="11"/>
        <v>111</v>
      </c>
      <c r="R25" s="1114" t="s">
        <v>1358</v>
      </c>
      <c r="S25" s="1115">
        <f>F25</f>
        <v>100</v>
      </c>
      <c r="T25" s="1114" t="s">
        <v>1358</v>
      </c>
      <c r="U25" s="1115">
        <f>H25</f>
        <v>100</v>
      </c>
      <c r="V25" s="1114" t="s">
        <v>1358</v>
      </c>
      <c r="W25" s="1115">
        <f>J25</f>
        <v>100</v>
      </c>
      <c r="X25" s="1116"/>
      <c r="Y25" s="3406"/>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1"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07"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07"/>
      <c r="Q27" s="1308" t="str">
        <f t="shared" si="11"/>
        <v>成新率</v>
      </c>
      <c r="R27" s="1120" t="s">
        <v>1358</v>
      </c>
      <c r="S27" s="1121" t="e">
        <f t="shared" si="12"/>
        <v>#N/A</v>
      </c>
      <c r="T27" s="1120" t="s">
        <v>1358</v>
      </c>
      <c r="U27" s="1121" t="e">
        <f t="shared" si="13"/>
        <v>#N/A</v>
      </c>
      <c r="V27" s="1120" t="s">
        <v>1358</v>
      </c>
      <c r="W27" s="1121" t="e">
        <f t="shared" si="14"/>
        <v>#N/A</v>
      </c>
      <c r="X27" s="1122"/>
      <c r="Y27" s="3407"/>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07"/>
      <c r="Q28" s="621" t="str">
        <f t="shared" si="11"/>
        <v>物业等级</v>
      </c>
      <c r="R28" s="1118" t="s">
        <v>1358</v>
      </c>
      <c r="S28" s="1119">
        <f t="shared" si="12"/>
        <v>100</v>
      </c>
      <c r="T28" s="1118" t="s">
        <v>1358</v>
      </c>
      <c r="U28" s="1119">
        <f t="shared" si="13"/>
        <v>100</v>
      </c>
      <c r="V28" s="1118" t="s">
        <v>1358</v>
      </c>
      <c r="W28" s="1119">
        <f t="shared" si="14"/>
        <v>100</v>
      </c>
      <c r="X28" s="1113"/>
      <c r="Y28" s="3407"/>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07"/>
      <c r="Q29" s="621" t="str">
        <f t="shared" si="11"/>
        <v>有无电梯</v>
      </c>
      <c r="R29" s="1118" t="s">
        <v>1358</v>
      </c>
      <c r="S29" s="1119">
        <f t="shared" si="12"/>
        <v>100</v>
      </c>
      <c r="T29" s="1118" t="s">
        <v>1358</v>
      </c>
      <c r="U29" s="1119">
        <f t="shared" si="13"/>
        <v>100</v>
      </c>
      <c r="V29" s="1118" t="s">
        <v>1358</v>
      </c>
      <c r="W29" s="1119">
        <f t="shared" si="14"/>
        <v>100</v>
      </c>
      <c r="X29" s="1113"/>
      <c r="Y29" s="3407"/>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07"/>
      <c r="Q30" s="621" t="str">
        <f t="shared" si="11"/>
        <v>建筑面积</v>
      </c>
      <c r="R30" s="1118" t="s">
        <v>1358</v>
      </c>
      <c r="S30" s="1119" t="e">
        <f t="shared" si="12"/>
        <v>#N/A</v>
      </c>
      <c r="T30" s="1118" t="s">
        <v>1358</v>
      </c>
      <c r="U30" s="1119" t="e">
        <f t="shared" si="13"/>
        <v>#N/A</v>
      </c>
      <c r="V30" s="1118" t="s">
        <v>1358</v>
      </c>
      <c r="W30" s="1119" t="e">
        <f t="shared" si="14"/>
        <v>#N/A</v>
      </c>
      <c r="X30" s="1113"/>
      <c r="Y30" s="3407"/>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07"/>
      <c r="Q31" s="790" t="str">
        <f t="shared" si="11"/>
        <v>是否封闭</v>
      </c>
      <c r="R31" s="1114" t="s">
        <v>1358</v>
      </c>
      <c r="S31" s="1115">
        <f t="shared" si="12"/>
        <v>100</v>
      </c>
      <c r="T31" s="1114" t="s">
        <v>1358</v>
      </c>
      <c r="U31" s="1115">
        <f t="shared" si="13"/>
        <v>100</v>
      </c>
      <c r="V31" s="1114" t="s">
        <v>1358</v>
      </c>
      <c r="W31" s="1115">
        <f t="shared" si="14"/>
        <v>100</v>
      </c>
      <c r="X31" s="1116"/>
      <c r="Y31" s="3407"/>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07" t="s">
        <v>1384</v>
      </c>
      <c r="Q32" s="621">
        <f t="shared" si="11"/>
        <v>111</v>
      </c>
      <c r="R32" s="1118" t="s">
        <v>1358</v>
      </c>
      <c r="S32" s="1119">
        <f t="shared" si="12"/>
        <v>100</v>
      </c>
      <c r="T32" s="1118" t="s">
        <v>1358</v>
      </c>
      <c r="U32" s="1119">
        <f t="shared" si="13"/>
        <v>100</v>
      </c>
      <c r="V32" s="1118" t="s">
        <v>1358</v>
      </c>
      <c r="W32" s="1119">
        <f t="shared" si="14"/>
        <v>100</v>
      </c>
      <c r="X32" s="1113"/>
      <c r="Y32" s="3407"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07"/>
      <c r="Q33" s="621">
        <f t="shared" si="11"/>
        <v>111</v>
      </c>
      <c r="R33" s="1118" t="s">
        <v>1358</v>
      </c>
      <c r="S33" s="1119">
        <f t="shared" si="12"/>
        <v>100</v>
      </c>
      <c r="T33" s="1118" t="s">
        <v>1358</v>
      </c>
      <c r="U33" s="1119">
        <f t="shared" si="13"/>
        <v>100</v>
      </c>
      <c r="V33" s="1118" t="s">
        <v>1358</v>
      </c>
      <c r="W33" s="1119">
        <f t="shared" si="14"/>
        <v>100</v>
      </c>
      <c r="X33" s="1113"/>
      <c r="Y33" s="3407"/>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07"/>
      <c r="Q34" s="621">
        <f t="shared" si="11"/>
        <v>111</v>
      </c>
      <c r="R34" s="1118" t="s">
        <v>1358</v>
      </c>
      <c r="S34" s="1119">
        <f t="shared" si="12"/>
        <v>100</v>
      </c>
      <c r="T34" s="1118" t="s">
        <v>1358</v>
      </c>
      <c r="U34" s="1119">
        <f t="shared" si="13"/>
        <v>100</v>
      </c>
      <c r="V34" s="1118" t="s">
        <v>1358</v>
      </c>
      <c r="W34" s="1119">
        <f t="shared" si="14"/>
        <v>100</v>
      </c>
      <c r="X34" s="1113"/>
      <c r="Y34" s="3407"/>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398" t="str">
        <f>A35</f>
        <v>成交单价（元/平方米）</v>
      </c>
      <c r="Q35" s="3398"/>
      <c r="R35" s="3399">
        <f>E35</f>
        <v>0</v>
      </c>
      <c r="S35" s="3399"/>
      <c r="T35" s="3399">
        <f>G35</f>
        <v>0</v>
      </c>
      <c r="U35" s="3399"/>
      <c r="V35" s="3399">
        <f>I35</f>
        <v>0</v>
      </c>
      <c r="W35" s="3399"/>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34" t="str">
        <f>A37</f>
        <v>估价对象XX用房的比较价值（楼面单价，元/平方米）</v>
      </c>
      <c r="Q37" s="3435"/>
      <c r="R37" s="3472" t="e">
        <f>IF(F1="售价",ROUND(IF(D36="简单平均",AVERAGE(R36:W36),R36*F36+T36*H36+V36*J36),0),ROUND(IF(D36="简单平均",AVERAGE(R36:V36),R36*F36+T36*H36+V36*J36),1))</f>
        <v>#DIV/0!</v>
      </c>
      <c r="S37" s="3472"/>
      <c r="T37" s="3472"/>
      <c r="U37" s="3472"/>
      <c r="V37" s="3472"/>
      <c r="W37" s="3472"/>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413" t="s">
        <v>1349</v>
      </c>
      <c r="AC4" s="3437" t="s">
        <v>1350</v>
      </c>
    </row>
    <row r="5" spans="1:29">
      <c r="A5" s="922"/>
      <c r="B5" s="923"/>
      <c r="C5" s="3431" t="s">
        <v>1575</v>
      </c>
      <c r="D5" s="3388"/>
      <c r="E5" s="3432" t="s">
        <v>1576</v>
      </c>
      <c r="F5" s="3433"/>
      <c r="G5" s="3431" t="s">
        <v>1577</v>
      </c>
      <c r="H5" s="3388"/>
      <c r="I5" s="3431" t="s">
        <v>1353</v>
      </c>
      <c r="J5" s="3388"/>
      <c r="K5" s="1064"/>
      <c r="L5" s="1065"/>
      <c r="M5" s="1015"/>
      <c r="N5" s="1015"/>
      <c r="O5" s="1015"/>
      <c r="P5" s="3440"/>
      <c r="Q5" s="3421"/>
      <c r="R5" s="3426"/>
      <c r="S5" s="3427"/>
      <c r="T5" s="3426"/>
      <c r="U5" s="3427"/>
      <c r="V5" s="3399"/>
      <c r="W5" s="3399"/>
      <c r="X5" s="1113"/>
      <c r="Y5" s="3426"/>
      <c r="Z5" s="3427"/>
      <c r="AA5" s="3413"/>
      <c r="AB5" s="3413"/>
      <c r="AC5" s="3413"/>
    </row>
    <row r="6" spans="1:29" ht="14.4">
      <c r="A6" s="924"/>
      <c r="B6" s="925"/>
      <c r="C6" s="3389" t="s">
        <v>1354</v>
      </c>
      <c r="D6" s="3390"/>
      <c r="E6" s="3391" t="s">
        <v>1354</v>
      </c>
      <c r="F6" s="3392"/>
      <c r="G6" s="3389" t="s">
        <v>1354</v>
      </c>
      <c r="H6" s="3390"/>
      <c r="I6" s="3389" t="s">
        <v>1354</v>
      </c>
      <c r="J6" s="3390"/>
      <c r="K6" s="1064" t="s">
        <v>1355</v>
      </c>
      <c r="L6" s="1065"/>
      <c r="M6" s="1015"/>
      <c r="N6" s="1015"/>
      <c r="O6" s="1015"/>
      <c r="P6" s="3441"/>
      <c r="Q6" s="3423"/>
      <c r="R6" s="3426"/>
      <c r="S6" s="3427"/>
      <c r="T6" s="3428"/>
      <c r="U6" s="3429"/>
      <c r="V6" s="3399"/>
      <c r="W6" s="3399"/>
      <c r="X6" s="1113"/>
      <c r="Y6" s="3428"/>
      <c r="Z6" s="3429"/>
      <c r="AA6" s="3414"/>
      <c r="AB6" s="3414"/>
      <c r="AC6" s="3414"/>
    </row>
    <row r="7" spans="1:29" s="899" customFormat="1" ht="14.4">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395" t="s">
        <v>1357</v>
      </c>
      <c r="Q7" s="3394"/>
      <c r="R7" s="1114" t="s">
        <v>1358</v>
      </c>
      <c r="S7" s="1115">
        <f t="shared" ref="S7:S15" si="0">F7</f>
        <v>0</v>
      </c>
      <c r="T7" s="1114" t="s">
        <v>1358</v>
      </c>
      <c r="U7" s="1115">
        <f t="shared" ref="U7:U15" si="1">H7</f>
        <v>0</v>
      </c>
      <c r="V7" s="1114" t="s">
        <v>1358</v>
      </c>
      <c r="W7" s="1115">
        <f t="shared" ref="W7:W15" si="2">J7</f>
        <v>0</v>
      </c>
      <c r="X7" s="1116"/>
      <c r="Y7" s="3395" t="s">
        <v>1357</v>
      </c>
      <c r="Z7" s="3396"/>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395" t="s">
        <v>1361</v>
      </c>
      <c r="Q8" s="3396"/>
      <c r="R8" s="1114" t="s">
        <v>1358</v>
      </c>
      <c r="S8" s="1115">
        <f t="shared" si="0"/>
        <v>0</v>
      </c>
      <c r="T8" s="1114" t="s">
        <v>1358</v>
      </c>
      <c r="U8" s="1115">
        <f t="shared" si="1"/>
        <v>0</v>
      </c>
      <c r="V8" s="1114" t="s">
        <v>1358</v>
      </c>
      <c r="W8" s="1115">
        <f t="shared" si="2"/>
        <v>0</v>
      </c>
      <c r="X8" s="1116"/>
      <c r="Y8" s="3395" t="s">
        <v>1361</v>
      </c>
      <c r="Z8" s="3396"/>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8"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398"/>
      <c r="Q10" s="790" t="str">
        <f t="shared" si="6"/>
        <v>土地使用年限（年）</v>
      </c>
      <c r="R10" s="1114" t="s">
        <v>1358</v>
      </c>
      <c r="S10" s="1115">
        <f t="shared" si="0"/>
        <v>116</v>
      </c>
      <c r="T10" s="1114" t="s">
        <v>1358</v>
      </c>
      <c r="U10" s="1115">
        <f t="shared" si="1"/>
        <v>116</v>
      </c>
      <c r="V10" s="1114" t="s">
        <v>1358</v>
      </c>
      <c r="W10" s="1115">
        <f t="shared" si="2"/>
        <v>116</v>
      </c>
      <c r="X10" s="1116"/>
      <c r="Y10" s="3369"/>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8"/>
      <c r="Q11" s="790" t="str">
        <f t="shared" si="6"/>
        <v>容积率</v>
      </c>
      <c r="R11" s="1114" t="s">
        <v>1358</v>
      </c>
      <c r="S11" s="1115" t="e">
        <f t="shared" si="0"/>
        <v>#N/A</v>
      </c>
      <c r="T11" s="1114" t="s">
        <v>1358</v>
      </c>
      <c r="U11" s="1115" t="e">
        <f t="shared" si="1"/>
        <v>#N/A</v>
      </c>
      <c r="V11" s="1114" t="s">
        <v>1358</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8"/>
      <c r="Q12" s="790" t="str">
        <f t="shared" si="6"/>
        <v>配建</v>
      </c>
      <c r="R12" s="1114" t="s">
        <v>1358</v>
      </c>
      <c r="S12" s="1115">
        <f t="shared" si="0"/>
        <v>100</v>
      </c>
      <c r="T12" s="1114" t="s">
        <v>1358</v>
      </c>
      <c r="U12" s="1115">
        <f t="shared" si="1"/>
        <v>100</v>
      </c>
      <c r="V12" s="1114" t="s">
        <v>1358</v>
      </c>
      <c r="W12" s="1115">
        <f t="shared" si="2"/>
        <v>100</v>
      </c>
      <c r="X12" s="1116"/>
      <c r="Y12" s="3369"/>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8"/>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8"/>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05" t="s">
        <v>1370</v>
      </c>
      <c r="Q15" s="621" t="str">
        <f t="shared" si="6"/>
        <v>居住社区成熟度</v>
      </c>
      <c r="R15" s="1118" t="s">
        <v>1358</v>
      </c>
      <c r="S15" s="1119">
        <f t="shared" si="0"/>
        <v>100</v>
      </c>
      <c r="T15" s="1118" t="s">
        <v>1358</v>
      </c>
      <c r="U15" s="1119">
        <f t="shared" si="1"/>
        <v>100</v>
      </c>
      <c r="V15" s="1118" t="s">
        <v>1358</v>
      </c>
      <c r="W15" s="1119">
        <f t="shared" si="2"/>
        <v>100</v>
      </c>
      <c r="X15" s="1113"/>
      <c r="Y15" s="3405"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06"/>
      <c r="Q16" s="621"/>
      <c r="R16" s="1118"/>
      <c r="S16" s="1119"/>
      <c r="T16" s="1118"/>
      <c r="U16" s="1119"/>
      <c r="V16" s="1118"/>
      <c r="W16" s="1119"/>
      <c r="X16" s="1113"/>
      <c r="Y16" s="3406"/>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06"/>
      <c r="Q17" s="621" t="str">
        <f>B17</f>
        <v>商业繁华度</v>
      </c>
      <c r="R17" s="1118" t="s">
        <v>1358</v>
      </c>
      <c r="S17" s="1119">
        <f>F17</f>
        <v>100</v>
      </c>
      <c r="T17" s="1118" t="s">
        <v>1358</v>
      </c>
      <c r="U17" s="1119">
        <f>H17</f>
        <v>100</v>
      </c>
      <c r="V17" s="1118" t="s">
        <v>1358</v>
      </c>
      <c r="W17" s="1119">
        <f>J17</f>
        <v>100</v>
      </c>
      <c r="X17" s="1113"/>
      <c r="Y17" s="3406"/>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06"/>
      <c r="Q18" s="621"/>
      <c r="R18" s="1118"/>
      <c r="S18" s="1119"/>
      <c r="T18" s="1118"/>
      <c r="U18" s="1119"/>
      <c r="V18" s="1118"/>
      <c r="W18" s="1119"/>
      <c r="X18" s="1113"/>
      <c r="Y18" s="3406"/>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06"/>
      <c r="Q19" s="621" t="str">
        <f>B19</f>
        <v>办公集聚程度</v>
      </c>
      <c r="R19" s="1118" t="s">
        <v>1358</v>
      </c>
      <c r="S19" s="1119">
        <f>F19</f>
        <v>100</v>
      </c>
      <c r="T19" s="1118" t="s">
        <v>1358</v>
      </c>
      <c r="U19" s="1119">
        <f>H19</f>
        <v>100</v>
      </c>
      <c r="V19" s="1118" t="s">
        <v>1358</v>
      </c>
      <c r="W19" s="1119">
        <f>J19</f>
        <v>100</v>
      </c>
      <c r="X19" s="1113"/>
      <c r="Y19" s="3406"/>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06"/>
      <c r="Q20" s="621"/>
      <c r="R20" s="1118"/>
      <c r="S20" s="1119"/>
      <c r="T20" s="1118"/>
      <c r="U20" s="1119"/>
      <c r="V20" s="1118"/>
      <c r="W20" s="1119"/>
      <c r="X20" s="1113"/>
      <c r="Y20" s="3406"/>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06"/>
      <c r="Q21" s="621" t="str">
        <f>B21</f>
        <v>交通便捷度</v>
      </c>
      <c r="R21" s="1118" t="s">
        <v>1358</v>
      </c>
      <c r="S21" s="1119">
        <f>F21</f>
        <v>100</v>
      </c>
      <c r="T21" s="1118" t="s">
        <v>1358</v>
      </c>
      <c r="U21" s="1119">
        <f>H21</f>
        <v>100</v>
      </c>
      <c r="V21" s="1118" t="s">
        <v>1358</v>
      </c>
      <c r="W21" s="1119">
        <f>J21</f>
        <v>100</v>
      </c>
      <c r="X21" s="1113"/>
      <c r="Y21" s="3406"/>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06"/>
      <c r="Q22" s="621"/>
      <c r="R22" s="1118"/>
      <c r="S22" s="1119"/>
      <c r="T22" s="1118"/>
      <c r="U22" s="1119"/>
      <c r="V22" s="1118"/>
      <c r="W22" s="1119"/>
      <c r="X22" s="1113"/>
      <c r="Y22" s="3406"/>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06"/>
      <c r="Q23" s="621" t="str">
        <f t="shared" ref="Q23:Q38" si="8">B23</f>
        <v>区域土地利用方向</v>
      </c>
      <c r="R23" s="1118" t="s">
        <v>1358</v>
      </c>
      <c r="S23" s="1119">
        <f>F23</f>
        <v>100</v>
      </c>
      <c r="T23" s="1118" t="s">
        <v>1358</v>
      </c>
      <c r="U23" s="1119">
        <f>H23</f>
        <v>100</v>
      </c>
      <c r="V23" s="1118" t="s">
        <v>1358</v>
      </c>
      <c r="W23" s="1119">
        <f>J23</f>
        <v>100</v>
      </c>
      <c r="X23" s="1113"/>
      <c r="Y23" s="3406"/>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06"/>
      <c r="Q24" s="621"/>
      <c r="R24" s="1118"/>
      <c r="S24" s="1119"/>
      <c r="T24" s="1118"/>
      <c r="U24" s="1119"/>
      <c r="V24" s="1118"/>
      <c r="W24" s="1119"/>
      <c r="X24" s="1113"/>
      <c r="Y24" s="3406"/>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06"/>
      <c r="Q25" s="621" t="str">
        <f t="shared" si="8"/>
        <v>自然及人文环境状况</v>
      </c>
      <c r="R25" s="1118" t="s">
        <v>1358</v>
      </c>
      <c r="S25" s="1119">
        <f>F25</f>
        <v>100</v>
      </c>
      <c r="T25" s="1118" t="s">
        <v>1358</v>
      </c>
      <c r="U25" s="1119">
        <f>H25</f>
        <v>100</v>
      </c>
      <c r="V25" s="1118" t="s">
        <v>1358</v>
      </c>
      <c r="W25" s="1119">
        <f>J25</f>
        <v>100</v>
      </c>
      <c r="X25" s="1113"/>
      <c r="Y25" s="3406"/>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06"/>
      <c r="Q26" s="621"/>
      <c r="R26" s="1118"/>
      <c r="S26" s="1119"/>
      <c r="T26" s="1118"/>
      <c r="U26" s="1119"/>
      <c r="V26" s="1118"/>
      <c r="W26" s="1119"/>
      <c r="X26" s="1113"/>
      <c r="Y26" s="3406"/>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06"/>
      <c r="Q27" s="790" t="str">
        <f t="shared" si="8"/>
        <v>公共配套设施</v>
      </c>
      <c r="R27" s="1114" t="s">
        <v>1358</v>
      </c>
      <c r="S27" s="1115">
        <f>F27</f>
        <v>100</v>
      </c>
      <c r="T27" s="1114" t="s">
        <v>1358</v>
      </c>
      <c r="U27" s="1115">
        <f>H27</f>
        <v>100</v>
      </c>
      <c r="V27" s="1114" t="s">
        <v>1358</v>
      </c>
      <c r="W27" s="1115">
        <f>J27</f>
        <v>100</v>
      </c>
      <c r="X27" s="1116"/>
      <c r="Y27" s="3406"/>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06"/>
      <c r="Q28" s="790"/>
      <c r="R28" s="1114"/>
      <c r="S28" s="1115"/>
      <c r="T28" s="1114"/>
      <c r="U28" s="1115"/>
      <c r="V28" s="1114"/>
      <c r="W28" s="1115"/>
      <c r="X28" s="1116"/>
      <c r="Y28" s="3406"/>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06"/>
      <c r="Q29" s="790" t="str">
        <f t="shared" ref="Q29" si="9">B29</f>
        <v>基础设施水平</v>
      </c>
      <c r="R29" s="1114" t="s">
        <v>1358</v>
      </c>
      <c r="S29" s="1115">
        <f>F29</f>
        <v>100</v>
      </c>
      <c r="T29" s="1114" t="s">
        <v>1358</v>
      </c>
      <c r="U29" s="1115">
        <f>H29</f>
        <v>100</v>
      </c>
      <c r="V29" s="1114" t="s">
        <v>1358</v>
      </c>
      <c r="W29" s="1115">
        <f>J29</f>
        <v>100</v>
      </c>
      <c r="X29" s="1116"/>
      <c r="Y29" s="3406"/>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06"/>
      <c r="Q30" s="790"/>
      <c r="R30" s="1114"/>
      <c r="S30" s="1115"/>
      <c r="T30" s="1114"/>
      <c r="U30" s="1115"/>
      <c r="V30" s="1114"/>
      <c r="W30" s="1115"/>
      <c r="X30" s="1116"/>
      <c r="Y30" s="3406"/>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06"/>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06"/>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06"/>
      <c r="Q32" s="621" t="str">
        <f t="shared" si="8"/>
        <v>毗邻道路的类型与等级</v>
      </c>
      <c r="R32" s="1118" t="s">
        <v>1358</v>
      </c>
      <c r="S32" s="1119">
        <f t="shared" si="10"/>
        <v>100</v>
      </c>
      <c r="T32" s="1118" t="s">
        <v>1358</v>
      </c>
      <c r="U32" s="1119">
        <f t="shared" si="11"/>
        <v>100</v>
      </c>
      <c r="V32" s="1118" t="s">
        <v>1358</v>
      </c>
      <c r="W32" s="1119">
        <f t="shared" si="12"/>
        <v>100</v>
      </c>
      <c r="X32" s="1113"/>
      <c r="Y32" s="3406"/>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06"/>
      <c r="Q33" s="621"/>
      <c r="R33" s="1118"/>
      <c r="S33" s="1119"/>
      <c r="T33" s="1118"/>
      <c r="U33" s="1119"/>
      <c r="V33" s="1118"/>
      <c r="W33" s="1119"/>
      <c r="X33" s="1113"/>
      <c r="Y33" s="3406"/>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06"/>
      <c r="Q34" s="621" t="str">
        <f t="shared" si="8"/>
        <v>土地级别</v>
      </c>
      <c r="R34" s="1118" t="s">
        <v>1358</v>
      </c>
      <c r="S34" s="1119">
        <f t="shared" si="10"/>
        <v>100</v>
      </c>
      <c r="T34" s="1118" t="s">
        <v>1358</v>
      </c>
      <c r="U34" s="1119">
        <f t="shared" si="11"/>
        <v>100</v>
      </c>
      <c r="V34" s="1118" t="s">
        <v>1358</v>
      </c>
      <c r="W34" s="1119">
        <f t="shared" si="12"/>
        <v>100</v>
      </c>
      <c r="X34" s="1113"/>
      <c r="Y34" s="3406"/>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06"/>
      <c r="Q35" s="621">
        <f t="shared" si="8"/>
        <v>111</v>
      </c>
      <c r="R35" s="1118" t="s">
        <v>1358</v>
      </c>
      <c r="S35" s="1119">
        <f t="shared" si="10"/>
        <v>100</v>
      </c>
      <c r="T35" s="1118" t="s">
        <v>1358</v>
      </c>
      <c r="U35" s="1119">
        <f t="shared" si="11"/>
        <v>100</v>
      </c>
      <c r="V35" s="1118" t="s">
        <v>1358</v>
      </c>
      <c r="W35" s="1119">
        <f t="shared" si="12"/>
        <v>100</v>
      </c>
      <c r="X35" s="1113"/>
      <c r="Y35" s="3406"/>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1" t="s">
        <v>1384</v>
      </c>
      <c r="Q36" s="621">
        <f t="shared" si="8"/>
        <v>111</v>
      </c>
      <c r="R36" s="1118" t="s">
        <v>1358</v>
      </c>
      <c r="S36" s="1119">
        <f t="shared" si="10"/>
        <v>100</v>
      </c>
      <c r="T36" s="1118" t="s">
        <v>1358</v>
      </c>
      <c r="U36" s="1119">
        <f t="shared" si="11"/>
        <v>100</v>
      </c>
      <c r="V36" s="1118" t="s">
        <v>1358</v>
      </c>
      <c r="W36" s="1119">
        <f t="shared" si="12"/>
        <v>100</v>
      </c>
      <c r="X36" s="1113"/>
      <c r="Y36" s="3407"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07"/>
      <c r="Q37" s="621">
        <f t="shared" si="8"/>
        <v>111</v>
      </c>
      <c r="R37" s="1120" t="s">
        <v>1358</v>
      </c>
      <c r="S37" s="1121">
        <f t="shared" si="10"/>
        <v>100</v>
      </c>
      <c r="T37" s="1120" t="s">
        <v>1358</v>
      </c>
      <c r="U37" s="1121">
        <f t="shared" si="11"/>
        <v>100</v>
      </c>
      <c r="V37" s="1120" t="s">
        <v>1358</v>
      </c>
      <c r="W37" s="1121">
        <f t="shared" si="12"/>
        <v>100</v>
      </c>
      <c r="X37" s="1122"/>
      <c r="Y37" s="3407"/>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07"/>
      <c r="Q38" s="621" t="str">
        <f t="shared" si="8"/>
        <v>宗地面积</v>
      </c>
      <c r="R38" s="1118" t="s">
        <v>1358</v>
      </c>
      <c r="S38" s="1119" t="e">
        <f t="shared" si="10"/>
        <v>#N/A</v>
      </c>
      <c r="T38" s="1118" t="s">
        <v>1358</v>
      </c>
      <c r="U38" s="1119" t="e">
        <f t="shared" si="11"/>
        <v>#N/A</v>
      </c>
      <c r="V38" s="1118" t="s">
        <v>1358</v>
      </c>
      <c r="W38" s="1119" t="e">
        <f t="shared" si="12"/>
        <v>#N/A</v>
      </c>
      <c r="X38" s="1113"/>
      <c r="Y38" s="3407"/>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07"/>
      <c r="Q39" s="621" t="str">
        <f t="shared" ref="Q39:Q45" si="14">B39</f>
        <v>宗地形状</v>
      </c>
      <c r="R39" s="1118" t="s">
        <v>1358</v>
      </c>
      <c r="S39" s="1119">
        <f t="shared" si="10"/>
        <v>100</v>
      </c>
      <c r="T39" s="1118" t="s">
        <v>1358</v>
      </c>
      <c r="U39" s="1119">
        <f t="shared" si="11"/>
        <v>100</v>
      </c>
      <c r="V39" s="1118" t="s">
        <v>1358</v>
      </c>
      <c r="W39" s="1119">
        <f t="shared" si="12"/>
        <v>100</v>
      </c>
      <c r="X39" s="1113"/>
      <c r="Y39" s="3407"/>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07"/>
      <c r="Q40" s="621" t="str">
        <f t="shared" si="14"/>
        <v>临街宽度及深度</v>
      </c>
      <c r="R40" s="1118" t="s">
        <v>1358</v>
      </c>
      <c r="S40" s="1119">
        <f t="shared" si="10"/>
        <v>100</v>
      </c>
      <c r="T40" s="1118" t="s">
        <v>1358</v>
      </c>
      <c r="U40" s="1119">
        <f t="shared" si="11"/>
        <v>100</v>
      </c>
      <c r="V40" s="1118" t="s">
        <v>1358</v>
      </c>
      <c r="W40" s="1119">
        <f t="shared" si="12"/>
        <v>100</v>
      </c>
      <c r="X40" s="1113"/>
      <c r="Y40" s="3407"/>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07"/>
      <c r="Q41" s="621" t="str">
        <f t="shared" si="14"/>
        <v>宗地开发程度</v>
      </c>
      <c r="R41" s="1114" t="s">
        <v>1358</v>
      </c>
      <c r="S41" s="1115">
        <f t="shared" si="10"/>
        <v>100</v>
      </c>
      <c r="T41" s="1114" t="s">
        <v>1358</v>
      </c>
      <c r="U41" s="1115">
        <f t="shared" si="11"/>
        <v>100</v>
      </c>
      <c r="V41" s="1114" t="s">
        <v>1358</v>
      </c>
      <c r="W41" s="1115">
        <f t="shared" si="12"/>
        <v>100</v>
      </c>
      <c r="X41" s="1116"/>
      <c r="Y41" s="3407"/>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07" t="s">
        <v>1384</v>
      </c>
      <c r="Q42" s="621" t="str">
        <f t="shared" si="14"/>
        <v>工程地质条件</v>
      </c>
      <c r="R42" s="1118" t="s">
        <v>1358</v>
      </c>
      <c r="S42" s="1119">
        <f t="shared" si="10"/>
        <v>100</v>
      </c>
      <c r="T42" s="1118" t="s">
        <v>1358</v>
      </c>
      <c r="U42" s="1119">
        <f t="shared" si="11"/>
        <v>100</v>
      </c>
      <c r="V42" s="1118" t="s">
        <v>1358</v>
      </c>
      <c r="W42" s="1119">
        <f t="shared" si="12"/>
        <v>100</v>
      </c>
      <c r="X42" s="1113"/>
      <c r="Y42" s="3407"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07"/>
      <c r="Q43" s="621">
        <f t="shared" si="14"/>
        <v>111</v>
      </c>
      <c r="R43" s="1118" t="s">
        <v>1358</v>
      </c>
      <c r="S43" s="1119">
        <f t="shared" si="10"/>
        <v>100</v>
      </c>
      <c r="T43" s="1118" t="s">
        <v>1358</v>
      </c>
      <c r="U43" s="1119">
        <f t="shared" si="11"/>
        <v>100</v>
      </c>
      <c r="V43" s="1118" t="s">
        <v>1358</v>
      </c>
      <c r="W43" s="1119">
        <f t="shared" si="12"/>
        <v>100</v>
      </c>
      <c r="X43" s="1113"/>
      <c r="Y43" s="3407"/>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07"/>
      <c r="Q44" s="621">
        <f t="shared" si="14"/>
        <v>111</v>
      </c>
      <c r="R44" s="1118" t="s">
        <v>1358</v>
      </c>
      <c r="S44" s="1119">
        <f t="shared" si="10"/>
        <v>100</v>
      </c>
      <c r="T44" s="1118" t="s">
        <v>1358</v>
      </c>
      <c r="U44" s="1119">
        <f t="shared" si="11"/>
        <v>100</v>
      </c>
      <c r="V44" s="1118" t="s">
        <v>1358</v>
      </c>
      <c r="W44" s="1119">
        <f t="shared" si="12"/>
        <v>100</v>
      </c>
      <c r="X44" s="1113"/>
      <c r="Y44" s="3407"/>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07"/>
      <c r="Q45" s="621">
        <f t="shared" si="14"/>
        <v>111</v>
      </c>
      <c r="R45" s="1120" t="s">
        <v>1358</v>
      </c>
      <c r="S45" s="1121">
        <f t="shared" si="10"/>
        <v>100</v>
      </c>
      <c r="T45" s="1120" t="s">
        <v>1358</v>
      </c>
      <c r="U45" s="1121">
        <f t="shared" si="11"/>
        <v>100</v>
      </c>
      <c r="V45" s="1120" t="s">
        <v>1358</v>
      </c>
      <c r="W45" s="1121">
        <f t="shared" si="12"/>
        <v>100</v>
      </c>
      <c r="X45" s="1122"/>
      <c r="Y45" s="3407"/>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398" t="str">
        <f>A46</f>
        <v>成交单价</v>
      </c>
      <c r="Q46" s="3398"/>
      <c r="R46" s="3399">
        <f>E46</f>
        <v>0</v>
      </c>
      <c r="S46" s="3399"/>
      <c r="T46" s="3399">
        <f>G46</f>
        <v>0</v>
      </c>
      <c r="U46" s="3399"/>
      <c r="V46" s="3399">
        <f>I46</f>
        <v>0</v>
      </c>
      <c r="W46" s="3399"/>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398" t="str">
        <f>A47</f>
        <v>比较价值（元/平方米）</v>
      </c>
      <c r="Q47" s="3398"/>
      <c r="R47" s="3474" t="e">
        <f>ROUND(PRODUCT(R46,AA7:AA45),0)</f>
        <v>#DIV/0!</v>
      </c>
      <c r="S47" s="3474"/>
      <c r="T47" s="3474" t="e">
        <f>ROUND(PRODUCT(T46,AB7:AB45),0)</f>
        <v>#DIV/0!</v>
      </c>
      <c r="U47" s="3474"/>
      <c r="V47" s="3474" t="e">
        <f>ROUND(PRODUCT(V46,AC7:AC45),0)</f>
        <v>#DIV/0!</v>
      </c>
      <c r="W47" s="3474"/>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34" t="str">
        <f>A48</f>
        <v>估价对象XX用房的比较价值（楼面单价，元/平方米）</v>
      </c>
      <c r="Q48" s="3435"/>
      <c r="R48" s="3475" t="e">
        <f>ROUND(IF(D47="简单平均",AVERAGE(R47:W47),R47*F47+T47*H47+V47*J47),0)</f>
        <v>#DIV/0!</v>
      </c>
      <c r="S48" s="3475"/>
      <c r="T48" s="3475"/>
      <c r="U48" s="3475"/>
      <c r="V48" s="3475"/>
      <c r="W48" s="3475"/>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83" t="s">
        <v>1673</v>
      </c>
      <c r="H55" s="3473"/>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397"/>
      <c r="H56" s="3398"/>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413" t="s">
        <v>1349</v>
      </c>
      <c r="AC4" s="3437" t="s">
        <v>1350</v>
      </c>
    </row>
    <row r="5" spans="1:29">
      <c r="A5" s="922"/>
      <c r="B5" s="923"/>
      <c r="C5" s="3431" t="s">
        <v>1575</v>
      </c>
      <c r="D5" s="3388"/>
      <c r="E5" s="3432" t="s">
        <v>1576</v>
      </c>
      <c r="F5" s="3433"/>
      <c r="G5" s="3431" t="s">
        <v>1577</v>
      </c>
      <c r="H5" s="3388"/>
      <c r="I5" s="3431" t="s">
        <v>1353</v>
      </c>
      <c r="J5" s="3388"/>
      <c r="K5" s="1064"/>
      <c r="L5" s="1065"/>
      <c r="M5" s="1015"/>
      <c r="N5" s="1015"/>
      <c r="O5" s="1015"/>
      <c r="P5" s="3440"/>
      <c r="Q5" s="3421"/>
      <c r="R5" s="3426"/>
      <c r="S5" s="3427"/>
      <c r="T5" s="3426"/>
      <c r="U5" s="3427"/>
      <c r="V5" s="3399"/>
      <c r="W5" s="3399"/>
      <c r="X5" s="1113"/>
      <c r="Y5" s="3426"/>
      <c r="Z5" s="3427"/>
      <c r="AA5" s="3413"/>
      <c r="AB5" s="3413"/>
      <c r="AC5" s="3413"/>
    </row>
    <row r="6" spans="1:29" ht="14.4">
      <c r="A6" s="924"/>
      <c r="B6" s="925"/>
      <c r="C6" s="3476" t="s">
        <v>1697</v>
      </c>
      <c r="D6" s="3477"/>
      <c r="E6" s="3478" t="s">
        <v>1697</v>
      </c>
      <c r="F6" s="3479"/>
      <c r="G6" s="3476" t="s">
        <v>1697</v>
      </c>
      <c r="H6" s="3477"/>
      <c r="I6" s="3476" t="s">
        <v>1697</v>
      </c>
      <c r="J6" s="3477"/>
      <c r="K6" s="1064" t="s">
        <v>1355</v>
      </c>
      <c r="L6" s="1065"/>
      <c r="M6" s="1015"/>
      <c r="N6" s="1015"/>
      <c r="O6" s="1015"/>
      <c r="P6" s="3441"/>
      <c r="Q6" s="3423"/>
      <c r="R6" s="3426"/>
      <c r="S6" s="3427"/>
      <c r="T6" s="3428"/>
      <c r="U6" s="3429"/>
      <c r="V6" s="3399"/>
      <c r="W6" s="3399"/>
      <c r="X6" s="1113"/>
      <c r="Y6" s="3428"/>
      <c r="Z6" s="3429"/>
      <c r="AA6" s="3414"/>
      <c r="AB6" s="3414"/>
      <c r="AC6" s="3414"/>
    </row>
    <row r="7" spans="1:29" s="899" customFormat="1" ht="14.4">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395" t="s">
        <v>1357</v>
      </c>
      <c r="Q7" s="3394"/>
      <c r="R7" s="1114" t="s">
        <v>1358</v>
      </c>
      <c r="S7" s="1115">
        <f t="shared" ref="S7:S15" si="0">F7</f>
        <v>0</v>
      </c>
      <c r="T7" s="1114" t="s">
        <v>1358</v>
      </c>
      <c r="U7" s="1115">
        <f t="shared" ref="U7:U15" si="1">H7</f>
        <v>0</v>
      </c>
      <c r="V7" s="1114" t="s">
        <v>1358</v>
      </c>
      <c r="W7" s="1115">
        <f t="shared" ref="W7:W15" si="2">J7</f>
        <v>0</v>
      </c>
      <c r="X7" s="1116"/>
      <c r="Y7" s="3395" t="s">
        <v>1357</v>
      </c>
      <c r="Z7" s="3396"/>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395" t="s">
        <v>1361</v>
      </c>
      <c r="Q8" s="3396"/>
      <c r="R8" s="1114" t="s">
        <v>1358</v>
      </c>
      <c r="S8" s="1115">
        <f t="shared" si="0"/>
        <v>0</v>
      </c>
      <c r="T8" s="1114" t="s">
        <v>1358</v>
      </c>
      <c r="U8" s="1115">
        <f t="shared" si="1"/>
        <v>0</v>
      </c>
      <c r="V8" s="1114" t="s">
        <v>1358</v>
      </c>
      <c r="W8" s="1115">
        <f t="shared" si="2"/>
        <v>0</v>
      </c>
      <c r="X8" s="1116"/>
      <c r="Y8" s="3395" t="s">
        <v>1361</v>
      </c>
      <c r="Z8" s="3396"/>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8"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398"/>
      <c r="Q10" s="790" t="str">
        <f t="shared" si="6"/>
        <v>土地使用年限（年）</v>
      </c>
      <c r="R10" s="1114" t="s">
        <v>1358</v>
      </c>
      <c r="S10" s="1115">
        <f t="shared" si="0"/>
        <v>116</v>
      </c>
      <c r="T10" s="1114" t="s">
        <v>1358</v>
      </c>
      <c r="U10" s="1115">
        <f t="shared" si="1"/>
        <v>116</v>
      </c>
      <c r="V10" s="1114" t="s">
        <v>1358</v>
      </c>
      <c r="W10" s="1115">
        <f t="shared" si="2"/>
        <v>116</v>
      </c>
      <c r="X10" s="1116"/>
      <c r="Y10" s="3369"/>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8"/>
      <c r="Q11" s="790" t="str">
        <f t="shared" si="6"/>
        <v>容积率</v>
      </c>
      <c r="R11" s="1114" t="s">
        <v>1358</v>
      </c>
      <c r="S11" s="1115" t="e">
        <f t="shared" si="0"/>
        <v>#N/A</v>
      </c>
      <c r="T11" s="1114" t="s">
        <v>1358</v>
      </c>
      <c r="U11" s="1115" t="e">
        <f t="shared" si="1"/>
        <v>#N/A</v>
      </c>
      <c r="V11" s="1114" t="s">
        <v>1358</v>
      </c>
      <c r="W11" s="1115" t="e">
        <f t="shared" si="2"/>
        <v>#N/A</v>
      </c>
      <c r="X11" s="1116"/>
      <c r="Y11" s="3369"/>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8"/>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8"/>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8"/>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05" t="s">
        <v>1370</v>
      </c>
      <c r="Q15" s="621" t="str">
        <f t="shared" si="6"/>
        <v>产业集聚程度</v>
      </c>
      <c r="R15" s="1118" t="s">
        <v>1358</v>
      </c>
      <c r="S15" s="1119">
        <f t="shared" si="0"/>
        <v>100</v>
      </c>
      <c r="T15" s="1118" t="s">
        <v>1358</v>
      </c>
      <c r="U15" s="1119">
        <f t="shared" si="1"/>
        <v>100</v>
      </c>
      <c r="V15" s="1118" t="s">
        <v>1358</v>
      </c>
      <c r="W15" s="1119">
        <f t="shared" si="2"/>
        <v>100</v>
      </c>
      <c r="X15" s="1113"/>
      <c r="Y15" s="3405"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06"/>
      <c r="Q16" s="621"/>
      <c r="R16" s="1118"/>
      <c r="S16" s="1119"/>
      <c r="T16" s="1118"/>
      <c r="U16" s="1119"/>
      <c r="V16" s="1118"/>
      <c r="W16" s="1119"/>
      <c r="X16" s="1113"/>
      <c r="Y16" s="3406"/>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06"/>
      <c r="Q17" s="621" t="str">
        <f>B17</f>
        <v>交通便捷度</v>
      </c>
      <c r="R17" s="1118" t="s">
        <v>1358</v>
      </c>
      <c r="S17" s="1119">
        <f>F17</f>
        <v>100</v>
      </c>
      <c r="T17" s="1118" t="s">
        <v>1358</v>
      </c>
      <c r="U17" s="1119">
        <f>H17</f>
        <v>100</v>
      </c>
      <c r="V17" s="1118" t="s">
        <v>1358</v>
      </c>
      <c r="W17" s="1119">
        <f>J17</f>
        <v>100</v>
      </c>
      <c r="X17" s="1113"/>
      <c r="Y17" s="3406"/>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06"/>
      <c r="Q18" s="621"/>
      <c r="R18" s="1118"/>
      <c r="S18" s="1119"/>
      <c r="T18" s="1118"/>
      <c r="U18" s="1119"/>
      <c r="V18" s="1118"/>
      <c r="W18" s="1119"/>
      <c r="X18" s="1113"/>
      <c r="Y18" s="3406"/>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06"/>
      <c r="Q19" s="621" t="str">
        <f t="shared" ref="Q19:Q34" si="8">B19</f>
        <v>区域土地利用方向</v>
      </c>
      <c r="R19" s="1118" t="s">
        <v>1358</v>
      </c>
      <c r="S19" s="1119">
        <f>F19</f>
        <v>100</v>
      </c>
      <c r="T19" s="1118" t="s">
        <v>1358</v>
      </c>
      <c r="U19" s="1119">
        <f>H19</f>
        <v>100</v>
      </c>
      <c r="V19" s="1118" t="s">
        <v>1358</v>
      </c>
      <c r="W19" s="1119">
        <f>J19</f>
        <v>100</v>
      </c>
      <c r="X19" s="1113"/>
      <c r="Y19" s="3406"/>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06"/>
      <c r="Q20" s="621"/>
      <c r="R20" s="1118"/>
      <c r="S20" s="1119"/>
      <c r="T20" s="1118"/>
      <c r="U20" s="1119"/>
      <c r="V20" s="1118"/>
      <c r="W20" s="1119"/>
      <c r="X20" s="1113"/>
      <c r="Y20" s="3406"/>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06"/>
      <c r="Q21" s="621" t="str">
        <f t="shared" si="8"/>
        <v>环境状况</v>
      </c>
      <c r="R21" s="1118" t="s">
        <v>1358</v>
      </c>
      <c r="S21" s="1119">
        <f>F21</f>
        <v>100</v>
      </c>
      <c r="T21" s="1118" t="s">
        <v>1358</v>
      </c>
      <c r="U21" s="1119">
        <f>H21</f>
        <v>100</v>
      </c>
      <c r="V21" s="1118" t="s">
        <v>1358</v>
      </c>
      <c r="W21" s="1119">
        <f>J21</f>
        <v>100</v>
      </c>
      <c r="X21" s="1113"/>
      <c r="Y21" s="3406"/>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06"/>
      <c r="Q22" s="621"/>
      <c r="R22" s="1118"/>
      <c r="S22" s="1119"/>
      <c r="T22" s="1118"/>
      <c r="U22" s="1119"/>
      <c r="V22" s="1118"/>
      <c r="W22" s="1119"/>
      <c r="X22" s="1113"/>
      <c r="Y22" s="3406"/>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06"/>
      <c r="Q23" s="790" t="str">
        <f t="shared" si="8"/>
        <v>公共配套设施</v>
      </c>
      <c r="R23" s="1114" t="s">
        <v>1358</v>
      </c>
      <c r="S23" s="1115">
        <f>F23</f>
        <v>100</v>
      </c>
      <c r="T23" s="1114" t="s">
        <v>1358</v>
      </c>
      <c r="U23" s="1115">
        <f>H23</f>
        <v>100</v>
      </c>
      <c r="V23" s="1114" t="s">
        <v>1358</v>
      </c>
      <c r="W23" s="1115">
        <f>J23</f>
        <v>100</v>
      </c>
      <c r="X23" s="1116"/>
      <c r="Y23" s="3406"/>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06"/>
      <c r="Q24" s="790"/>
      <c r="R24" s="1114"/>
      <c r="S24" s="1115"/>
      <c r="T24" s="1114"/>
      <c r="U24" s="1115"/>
      <c r="V24" s="1114"/>
      <c r="W24" s="1115"/>
      <c r="X24" s="1116"/>
      <c r="Y24" s="3406"/>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06"/>
      <c r="Q25" s="790" t="str">
        <f t="shared" ref="Q25" si="9">B25</f>
        <v>基础设施水平</v>
      </c>
      <c r="R25" s="1114" t="s">
        <v>1358</v>
      </c>
      <c r="S25" s="1115">
        <f>F25</f>
        <v>100</v>
      </c>
      <c r="T25" s="1114" t="s">
        <v>1358</v>
      </c>
      <c r="U25" s="1115">
        <f>H25</f>
        <v>100</v>
      </c>
      <c r="V25" s="1114" t="s">
        <v>1358</v>
      </c>
      <c r="W25" s="1115">
        <f>J25</f>
        <v>100</v>
      </c>
      <c r="X25" s="1116"/>
      <c r="Y25" s="3406"/>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06"/>
      <c r="Q26" s="790"/>
      <c r="R26" s="1114"/>
      <c r="S26" s="1115"/>
      <c r="T26" s="1114"/>
      <c r="U26" s="1115"/>
      <c r="V26" s="1114"/>
      <c r="W26" s="1115"/>
      <c r="X26" s="1116"/>
      <c r="Y26" s="3406"/>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06"/>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06"/>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06"/>
      <c r="Q28" s="621" t="str">
        <f t="shared" si="8"/>
        <v>毗邻道路的类型与等级</v>
      </c>
      <c r="R28" s="1118" t="s">
        <v>1358</v>
      </c>
      <c r="S28" s="1119">
        <f t="shared" si="10"/>
        <v>100</v>
      </c>
      <c r="T28" s="1118" t="s">
        <v>1358</v>
      </c>
      <c r="U28" s="1119">
        <f t="shared" si="11"/>
        <v>100</v>
      </c>
      <c r="V28" s="1118" t="s">
        <v>1358</v>
      </c>
      <c r="W28" s="1119">
        <f t="shared" si="12"/>
        <v>100</v>
      </c>
      <c r="X28" s="1113"/>
      <c r="Y28" s="3406"/>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06"/>
      <c r="Q29" s="621"/>
      <c r="R29" s="1118"/>
      <c r="S29" s="1119"/>
      <c r="T29" s="1118"/>
      <c r="U29" s="1119"/>
      <c r="V29" s="1118"/>
      <c r="W29" s="1119"/>
      <c r="X29" s="1113"/>
      <c r="Y29" s="3406"/>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06"/>
      <c r="Q30" s="621" t="str">
        <f t="shared" si="8"/>
        <v>土地级别</v>
      </c>
      <c r="R30" s="1118" t="s">
        <v>1358</v>
      </c>
      <c r="S30" s="1119">
        <f t="shared" si="10"/>
        <v>100</v>
      </c>
      <c r="T30" s="1118" t="s">
        <v>1358</v>
      </c>
      <c r="U30" s="1119">
        <f t="shared" si="11"/>
        <v>100</v>
      </c>
      <c r="V30" s="1118" t="s">
        <v>1358</v>
      </c>
      <c r="W30" s="1119">
        <f t="shared" si="12"/>
        <v>100</v>
      </c>
      <c r="X30" s="1113"/>
      <c r="Y30" s="3406"/>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06"/>
      <c r="Q31" s="621">
        <f t="shared" si="8"/>
        <v>111</v>
      </c>
      <c r="R31" s="1118" t="s">
        <v>1358</v>
      </c>
      <c r="S31" s="1119">
        <f t="shared" si="10"/>
        <v>100</v>
      </c>
      <c r="T31" s="1118" t="s">
        <v>1358</v>
      </c>
      <c r="U31" s="1119">
        <f t="shared" si="11"/>
        <v>100</v>
      </c>
      <c r="V31" s="1118" t="s">
        <v>1358</v>
      </c>
      <c r="W31" s="1119">
        <f t="shared" si="12"/>
        <v>100</v>
      </c>
      <c r="X31" s="1113"/>
      <c r="Y31" s="3406"/>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1" t="s">
        <v>1384</v>
      </c>
      <c r="Q32" s="621">
        <f t="shared" si="8"/>
        <v>111</v>
      </c>
      <c r="R32" s="1118" t="s">
        <v>1358</v>
      </c>
      <c r="S32" s="1119">
        <f t="shared" si="10"/>
        <v>100</v>
      </c>
      <c r="T32" s="1118" t="s">
        <v>1358</v>
      </c>
      <c r="U32" s="1119">
        <f t="shared" si="11"/>
        <v>100</v>
      </c>
      <c r="V32" s="1118" t="s">
        <v>1358</v>
      </c>
      <c r="W32" s="1119">
        <f t="shared" si="12"/>
        <v>100</v>
      </c>
      <c r="X32" s="1113"/>
      <c r="Y32" s="3407"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07"/>
      <c r="Q33" s="621">
        <f t="shared" si="8"/>
        <v>111</v>
      </c>
      <c r="R33" s="1120" t="s">
        <v>1358</v>
      </c>
      <c r="S33" s="1121">
        <f t="shared" si="10"/>
        <v>100</v>
      </c>
      <c r="T33" s="1120" t="s">
        <v>1358</v>
      </c>
      <c r="U33" s="1121">
        <f t="shared" si="11"/>
        <v>100</v>
      </c>
      <c r="V33" s="1120" t="s">
        <v>1358</v>
      </c>
      <c r="W33" s="1121">
        <f t="shared" si="12"/>
        <v>100</v>
      </c>
      <c r="X33" s="1122"/>
      <c r="Y33" s="3407"/>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07"/>
      <c r="Q34" s="621" t="str">
        <f t="shared" si="8"/>
        <v>宗地面积</v>
      </c>
      <c r="R34" s="1118" t="s">
        <v>1358</v>
      </c>
      <c r="S34" s="1119" t="e">
        <f t="shared" si="10"/>
        <v>#N/A</v>
      </c>
      <c r="T34" s="1118" t="s">
        <v>1358</v>
      </c>
      <c r="U34" s="1119" t="e">
        <f t="shared" si="11"/>
        <v>#N/A</v>
      </c>
      <c r="V34" s="1118" t="s">
        <v>1358</v>
      </c>
      <c r="W34" s="1119" t="e">
        <f t="shared" si="12"/>
        <v>#N/A</v>
      </c>
      <c r="X34" s="1113"/>
      <c r="Y34" s="3407"/>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07"/>
      <c r="Q35" s="621" t="str">
        <f t="shared" ref="Q35:Q40" si="14">B35</f>
        <v>宗地形状</v>
      </c>
      <c r="R35" s="1118" t="s">
        <v>1358</v>
      </c>
      <c r="S35" s="1119">
        <f t="shared" si="10"/>
        <v>100</v>
      </c>
      <c r="T35" s="1118" t="s">
        <v>1358</v>
      </c>
      <c r="U35" s="1119">
        <f t="shared" si="11"/>
        <v>100</v>
      </c>
      <c r="V35" s="1118" t="s">
        <v>1358</v>
      </c>
      <c r="W35" s="1119">
        <f t="shared" si="12"/>
        <v>100</v>
      </c>
      <c r="X35" s="1113"/>
      <c r="Y35" s="3407"/>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07"/>
      <c r="Q36" s="621" t="str">
        <f t="shared" si="14"/>
        <v>宗地开发程度</v>
      </c>
      <c r="R36" s="1114" t="s">
        <v>1358</v>
      </c>
      <c r="S36" s="1115">
        <f t="shared" si="10"/>
        <v>100</v>
      </c>
      <c r="T36" s="1114" t="s">
        <v>1358</v>
      </c>
      <c r="U36" s="1115">
        <f t="shared" si="11"/>
        <v>100</v>
      </c>
      <c r="V36" s="1114" t="s">
        <v>1358</v>
      </c>
      <c r="W36" s="1115">
        <f t="shared" si="12"/>
        <v>100</v>
      </c>
      <c r="X36" s="1116"/>
      <c r="Y36" s="3407"/>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07" t="s">
        <v>1384</v>
      </c>
      <c r="Q37" s="621" t="str">
        <f t="shared" si="14"/>
        <v>工程地质条件</v>
      </c>
      <c r="R37" s="1118" t="s">
        <v>1358</v>
      </c>
      <c r="S37" s="1119">
        <f t="shared" si="10"/>
        <v>100</v>
      </c>
      <c r="T37" s="1118" t="s">
        <v>1358</v>
      </c>
      <c r="U37" s="1119">
        <f t="shared" si="11"/>
        <v>100</v>
      </c>
      <c r="V37" s="1118" t="s">
        <v>1358</v>
      </c>
      <c r="W37" s="1119">
        <f t="shared" si="12"/>
        <v>100</v>
      </c>
      <c r="X37" s="1113"/>
      <c r="Y37" s="3407"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07"/>
      <c r="Q38" s="621">
        <f t="shared" si="14"/>
        <v>111</v>
      </c>
      <c r="R38" s="1118" t="s">
        <v>1358</v>
      </c>
      <c r="S38" s="1119">
        <f t="shared" si="10"/>
        <v>100</v>
      </c>
      <c r="T38" s="1118" t="s">
        <v>1358</v>
      </c>
      <c r="U38" s="1119">
        <f t="shared" si="11"/>
        <v>100</v>
      </c>
      <c r="V38" s="1118" t="s">
        <v>1358</v>
      </c>
      <c r="W38" s="1119">
        <f t="shared" si="12"/>
        <v>100</v>
      </c>
      <c r="X38" s="1113"/>
      <c r="Y38" s="3407"/>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07"/>
      <c r="Q39" s="621">
        <f t="shared" si="14"/>
        <v>111</v>
      </c>
      <c r="R39" s="1118" t="s">
        <v>1358</v>
      </c>
      <c r="S39" s="1119">
        <f t="shared" si="10"/>
        <v>100</v>
      </c>
      <c r="T39" s="1118" t="s">
        <v>1358</v>
      </c>
      <c r="U39" s="1119">
        <f t="shared" si="11"/>
        <v>100</v>
      </c>
      <c r="V39" s="1118" t="s">
        <v>1358</v>
      </c>
      <c r="W39" s="1119">
        <f t="shared" si="12"/>
        <v>100</v>
      </c>
      <c r="X39" s="1113"/>
      <c r="Y39" s="3407"/>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07"/>
      <c r="Q40" s="621">
        <f t="shared" si="14"/>
        <v>111</v>
      </c>
      <c r="R40" s="1120" t="s">
        <v>1358</v>
      </c>
      <c r="S40" s="1121">
        <f t="shared" si="10"/>
        <v>100</v>
      </c>
      <c r="T40" s="1120" t="s">
        <v>1358</v>
      </c>
      <c r="U40" s="1121">
        <f t="shared" si="11"/>
        <v>100</v>
      </c>
      <c r="V40" s="1120" t="s">
        <v>1358</v>
      </c>
      <c r="W40" s="1121">
        <f t="shared" si="12"/>
        <v>100</v>
      </c>
      <c r="X40" s="1122"/>
      <c r="Y40" s="3407"/>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398" t="str">
        <f>A41</f>
        <v>成交单价</v>
      </c>
      <c r="Q41" s="3398"/>
      <c r="R41" s="3399">
        <f>E41</f>
        <v>0</v>
      </c>
      <c r="S41" s="3399"/>
      <c r="T41" s="3399">
        <f>G41</f>
        <v>0</v>
      </c>
      <c r="U41" s="3399"/>
      <c r="V41" s="3399">
        <f>I41</f>
        <v>0</v>
      </c>
      <c r="W41" s="3399"/>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398" t="str">
        <f>A42</f>
        <v>比较价值（元/平方米）</v>
      </c>
      <c r="Q42" s="3398"/>
      <c r="R42" s="3474" t="e">
        <f>ROUND(PRODUCT(R41,AA7:AA40),0)</f>
        <v>#DIV/0!</v>
      </c>
      <c r="S42" s="3474"/>
      <c r="T42" s="3474" t="e">
        <f>ROUND(PRODUCT(T41,AB7:AB40),0)</f>
        <v>#DIV/0!</v>
      </c>
      <c r="U42" s="3474"/>
      <c r="V42" s="3474" t="e">
        <f>ROUND(PRODUCT(V41,AC7:AC40),0)</f>
        <v>#DIV/0!</v>
      </c>
      <c r="W42" s="3474"/>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34" t="str">
        <f>A43</f>
        <v>估价对象XX用房的比较价值（楼面单价，元/平方米）</v>
      </c>
      <c r="Q43" s="3435"/>
      <c r="R43" s="3475" t="e">
        <f>ROUND(IF(D42="简单平均",AVERAGE(R42:W42),R42*F42+T42*H42+V42*J42),0)</f>
        <v>#DIV/0!</v>
      </c>
      <c r="S43" s="3475"/>
      <c r="T43" s="3475"/>
      <c r="U43" s="3475"/>
      <c r="V43" s="3475"/>
      <c r="W43" s="3475"/>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383" t="s">
        <v>1673</v>
      </c>
      <c r="H50" s="3473"/>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397"/>
      <c r="H51" s="3398"/>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75" t="s">
        <v>1716</v>
      </c>
    </row>
    <row r="43" spans="1:7" ht="13.5" customHeight="1">
      <c r="A43" s="386" t="s">
        <v>1008</v>
      </c>
      <c r="B43" s="359" t="s">
        <v>1046</v>
      </c>
      <c r="C43" s="388" t="e">
        <f ca="1">ROUND(IF('数据-取费表'!B22&lt;=1,C39*F22*'数据-取费表'!B20/2,C39*(POWER((1+F22),'数据-取费表'!B20/2)-1)),0)</f>
        <v>#N/A</v>
      </c>
      <c r="D43" s="388"/>
      <c r="E43" s="388"/>
      <c r="F43" s="389"/>
      <c r="G43" s="3376"/>
    </row>
    <row r="44" spans="1:7" ht="13.5" customHeight="1">
      <c r="A44" s="386" t="s">
        <v>1010</v>
      </c>
      <c r="B44" s="359" t="s">
        <v>1048</v>
      </c>
      <c r="C44" s="388">
        <f ca="1">ROUND(IF('数据-取费表'!B22&lt;=1,C40*F22*'数据-取费表'!B20/2,C40*(POWER((1+F22),'数据-取费表'!B20/2)-1)),4)</f>
        <v>5.9999999999999995E-4</v>
      </c>
      <c r="D44" s="388"/>
      <c r="E44" s="388"/>
      <c r="F44" s="389"/>
      <c r="G44" s="3377"/>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0"/>
      <c r="B4" s="3481"/>
      <c r="C4" s="3481"/>
      <c r="D4" s="3482"/>
      <c r="E4" s="3482"/>
      <c r="F4" s="3482"/>
      <c r="G4" s="3482"/>
      <c r="H4" s="3482"/>
      <c r="I4" s="3482"/>
      <c r="J4" s="3483"/>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84" t="s">
        <v>1751</v>
      </c>
      <c r="X8" s="3485"/>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98"/>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98"/>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0" t="s">
        <v>1800</v>
      </c>
      <c r="B20" s="586" t="s">
        <v>1801</v>
      </c>
      <c r="C20" s="587" t="e">
        <f>ROUND(IF(F21="与级别开发程度一致",0,(G21-E21)/C21),0)</f>
        <v>#DIV/0!</v>
      </c>
      <c r="D20" s="588" t="s">
        <v>1802</v>
      </c>
      <c r="E20" s="589"/>
      <c r="F20" s="3486" t="s">
        <v>1803</v>
      </c>
      <c r="G20" s="3487"/>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1"/>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2"/>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3"/>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3"/>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8" t="s">
        <v>1903</v>
      </c>
      <c r="B103" s="3488"/>
      <c r="C103" s="3488"/>
      <c r="D103" s="3488"/>
      <c r="E103" s="3488"/>
      <c r="F103" s="3488"/>
      <c r="G103" s="3488"/>
      <c r="H103" s="3488"/>
      <c r="I103" s="3488"/>
      <c r="J103" s="3488"/>
      <c r="K103" s="847"/>
      <c r="L103" s="847"/>
      <c r="M103" s="847"/>
      <c r="N103" s="847"/>
    </row>
    <row r="104" spans="1:14">
      <c r="A104" s="3494" t="s">
        <v>1904</v>
      </c>
      <c r="B104" s="3494" t="s">
        <v>1905</v>
      </c>
      <c r="C104" s="849" t="s">
        <v>1906</v>
      </c>
      <c r="D104" s="850"/>
      <c r="E104" s="850"/>
      <c r="F104" s="850"/>
      <c r="G104" s="850"/>
      <c r="H104" s="850"/>
      <c r="I104" s="850"/>
      <c r="J104" s="869"/>
      <c r="K104" s="870"/>
      <c r="L104" s="870"/>
      <c r="M104" s="870"/>
      <c r="N104" s="870"/>
    </row>
    <row r="105" spans="1:14">
      <c r="A105" s="3494"/>
      <c r="B105" s="3494"/>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495"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96"/>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96"/>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96"/>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96"/>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96"/>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7"/>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9" t="s">
        <v>1908</v>
      </c>
      <c r="B113" s="3489"/>
      <c r="C113" s="3489"/>
      <c r="D113" s="3489"/>
      <c r="E113" s="3489"/>
      <c r="F113" s="3489"/>
      <c r="G113" s="3489"/>
      <c r="H113" s="3489"/>
      <c r="I113" s="3489"/>
      <c r="J113" s="3489"/>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499" t="s">
        <v>1923</v>
      </c>
      <c r="B20" s="3505" t="s">
        <v>1932</v>
      </c>
      <c r="C20" s="465" t="s">
        <v>1933</v>
      </c>
      <c r="D20" s="466"/>
      <c r="E20" s="467">
        <v>1</v>
      </c>
      <c r="F20" s="468" t="s">
        <v>1934</v>
      </c>
      <c r="G20" s="468"/>
    </row>
    <row r="21" spans="1:13" ht="19.5" customHeight="1">
      <c r="A21" s="3500"/>
      <c r="B21" s="3506"/>
      <c r="C21" s="469" t="s">
        <v>1935</v>
      </c>
      <c r="D21" s="470"/>
      <c r="E21" s="471">
        <v>1</v>
      </c>
      <c r="F21" s="468" t="s">
        <v>1936</v>
      </c>
      <c r="G21" s="468"/>
    </row>
    <row r="22" spans="1:13" ht="19.5" customHeight="1">
      <c r="A22" s="3500"/>
      <c r="B22" s="3506"/>
      <c r="C22" s="469" t="s">
        <v>1937</v>
      </c>
      <c r="D22" s="470"/>
      <c r="E22" s="471">
        <v>0.9</v>
      </c>
      <c r="F22" s="468" t="s">
        <v>1938</v>
      </c>
      <c r="G22" s="468"/>
    </row>
    <row r="23" spans="1:13" ht="19.5" customHeight="1">
      <c r="A23" s="3500"/>
      <c r="B23" s="3506"/>
      <c r="C23" s="469" t="s">
        <v>1939</v>
      </c>
      <c r="D23" s="470"/>
      <c r="E23" s="471">
        <v>0.9</v>
      </c>
      <c r="F23" s="468" t="s">
        <v>1940</v>
      </c>
      <c r="G23" s="468"/>
    </row>
    <row r="24" spans="1:13" ht="19.5" customHeight="1">
      <c r="A24" s="3500"/>
      <c r="B24" s="3506"/>
      <c r="C24" s="469" t="s">
        <v>1941</v>
      </c>
      <c r="D24" s="470"/>
      <c r="E24" s="471">
        <v>0.8</v>
      </c>
      <c r="F24" s="468" t="s">
        <v>1942</v>
      </c>
      <c r="G24" s="468"/>
    </row>
    <row r="25" spans="1:13" ht="19.5" customHeight="1">
      <c r="A25" s="3501"/>
      <c r="B25" s="3507"/>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02" t="s">
        <v>280</v>
      </c>
      <c r="B27" s="3505" t="s">
        <v>280</v>
      </c>
      <c r="C27" s="465" t="s">
        <v>1946</v>
      </c>
      <c r="D27" s="466"/>
      <c r="E27" s="467">
        <v>1</v>
      </c>
      <c r="F27" s="468" t="s">
        <v>1947</v>
      </c>
      <c r="G27" s="468"/>
    </row>
    <row r="28" spans="1:13" ht="19.5" customHeight="1">
      <c r="A28" s="3503"/>
      <c r="B28" s="3506"/>
      <c r="C28" s="469" t="s">
        <v>1948</v>
      </c>
      <c r="D28" s="470"/>
      <c r="E28" s="471">
        <v>1</v>
      </c>
      <c r="F28" s="468" t="s">
        <v>1949</v>
      </c>
      <c r="G28" s="468"/>
    </row>
    <row r="29" spans="1:13" ht="19.5" customHeight="1">
      <c r="A29" s="3503"/>
      <c r="B29" s="3506"/>
      <c r="C29" s="469" t="s">
        <v>1950</v>
      </c>
      <c r="D29" s="470"/>
      <c r="E29" s="471">
        <v>0.8</v>
      </c>
      <c r="F29" s="468" t="s">
        <v>1951</v>
      </c>
      <c r="G29" s="468"/>
    </row>
    <row r="30" spans="1:13" ht="19.5" customHeight="1">
      <c r="A30" s="3503"/>
      <c r="B30" s="3506"/>
      <c r="C30" s="469" t="s">
        <v>1952</v>
      </c>
      <c r="D30" s="470"/>
      <c r="E30" s="471">
        <v>0.8</v>
      </c>
      <c r="F30" s="468" t="s">
        <v>1953</v>
      </c>
      <c r="G30" s="468"/>
    </row>
    <row r="31" spans="1:13" ht="19.5" customHeight="1">
      <c r="A31" s="3503"/>
      <c r="B31" s="3506"/>
      <c r="C31" s="469" t="s">
        <v>1954</v>
      </c>
      <c r="D31" s="470"/>
      <c r="E31" s="471">
        <v>0.8</v>
      </c>
      <c r="F31" s="468" t="s">
        <v>1955</v>
      </c>
      <c r="G31" s="468"/>
    </row>
    <row r="32" spans="1:13" ht="19.5" customHeight="1">
      <c r="A32" s="3503"/>
      <c r="B32" s="3506"/>
      <c r="C32" s="469" t="s">
        <v>1956</v>
      </c>
      <c r="D32" s="470"/>
      <c r="E32" s="471">
        <v>0.7</v>
      </c>
      <c r="F32" s="468" t="s">
        <v>1957</v>
      </c>
      <c r="G32" s="468"/>
    </row>
    <row r="33" spans="1:7" ht="19.5" customHeight="1">
      <c r="A33" s="3503"/>
      <c r="B33" s="3506"/>
      <c r="C33" s="469" t="s">
        <v>1958</v>
      </c>
      <c r="D33" s="470"/>
      <c r="E33" s="471">
        <v>0.8</v>
      </c>
      <c r="F33" s="468" t="s">
        <v>1959</v>
      </c>
      <c r="G33" s="468"/>
    </row>
    <row r="34" spans="1:7" ht="19.5" customHeight="1">
      <c r="A34" s="3503"/>
      <c r="B34" s="3506"/>
      <c r="C34" s="469" t="s">
        <v>1960</v>
      </c>
      <c r="D34" s="470"/>
      <c r="E34" s="471">
        <v>0.6</v>
      </c>
      <c r="F34" s="468" t="s">
        <v>1961</v>
      </c>
      <c r="G34" s="468"/>
    </row>
    <row r="35" spans="1:7" ht="19.5" customHeight="1">
      <c r="A35" s="3503"/>
      <c r="B35" s="3506"/>
      <c r="C35" s="469" t="s">
        <v>1962</v>
      </c>
      <c r="D35" s="470"/>
      <c r="E35" s="471">
        <v>0.2</v>
      </c>
      <c r="F35" s="468" t="s">
        <v>1963</v>
      </c>
      <c r="G35" s="468"/>
    </row>
    <row r="36" spans="1:7" ht="19.5" customHeight="1">
      <c r="A36" s="3503"/>
      <c r="B36" s="3506"/>
      <c r="C36" s="469" t="s">
        <v>1964</v>
      </c>
      <c r="D36" s="470"/>
      <c r="E36" s="471">
        <v>0.2</v>
      </c>
      <c r="F36" s="468" t="s">
        <v>1965</v>
      </c>
      <c r="G36" s="468"/>
    </row>
    <row r="37" spans="1:7" ht="19.5" customHeight="1">
      <c r="A37" s="3503"/>
      <c r="B37" s="3508" t="s">
        <v>1966</v>
      </c>
      <c r="C37" s="469" t="s">
        <v>1967</v>
      </c>
      <c r="D37" s="470"/>
      <c r="E37" s="471">
        <v>0.6</v>
      </c>
      <c r="F37" s="468" t="s">
        <v>1968</v>
      </c>
      <c r="G37" s="468"/>
    </row>
    <row r="38" spans="1:7" ht="19.5" customHeight="1">
      <c r="A38" s="3503"/>
      <c r="B38" s="3506"/>
      <c r="C38" s="469" t="s">
        <v>1969</v>
      </c>
      <c r="D38" s="470"/>
      <c r="E38" s="471">
        <v>0.6</v>
      </c>
      <c r="F38" s="468" t="s">
        <v>1970</v>
      </c>
      <c r="G38" s="468"/>
    </row>
    <row r="39" spans="1:7" ht="19.5" customHeight="1">
      <c r="A39" s="3504"/>
      <c r="B39" s="3507"/>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499" t="s">
        <v>408</v>
      </c>
      <c r="B41" s="3505" t="s">
        <v>1975</v>
      </c>
      <c r="C41" s="465" t="s">
        <v>1976</v>
      </c>
      <c r="D41" s="466"/>
      <c r="E41" s="467">
        <v>1</v>
      </c>
      <c r="F41" s="468" t="s">
        <v>1977</v>
      </c>
      <c r="G41" s="468"/>
    </row>
    <row r="42" spans="1:7" ht="19.5" customHeight="1">
      <c r="A42" s="3500"/>
      <c r="B42" s="3506"/>
      <c r="C42" s="469" t="s">
        <v>1978</v>
      </c>
      <c r="D42" s="470"/>
      <c r="E42" s="471">
        <v>1</v>
      </c>
      <c r="F42" s="468" t="s">
        <v>1979</v>
      </c>
      <c r="G42" s="468"/>
    </row>
    <row r="43" spans="1:7" ht="19.5" customHeight="1">
      <c r="A43" s="3500"/>
      <c r="B43" s="3509"/>
      <c r="C43" s="469" t="s">
        <v>1980</v>
      </c>
      <c r="D43" s="470"/>
      <c r="E43" s="471">
        <v>1.5</v>
      </c>
      <c r="F43" s="468" t="s">
        <v>1981</v>
      </c>
      <c r="G43" s="468"/>
    </row>
    <row r="44" spans="1:7" ht="19.5" customHeight="1">
      <c r="A44" s="3500"/>
      <c r="B44" s="481" t="s">
        <v>280</v>
      </c>
      <c r="C44" s="469" t="s">
        <v>1924</v>
      </c>
      <c r="D44" s="470"/>
      <c r="E44" s="471">
        <v>2</v>
      </c>
      <c r="F44" s="468" t="s">
        <v>1982</v>
      </c>
      <c r="G44" s="468"/>
    </row>
    <row r="45" spans="1:7" ht="19.5" customHeight="1">
      <c r="A45" s="3500"/>
      <c r="B45" s="3508" t="s">
        <v>1983</v>
      </c>
      <c r="C45" s="469" t="s">
        <v>1984</v>
      </c>
      <c r="D45" s="470"/>
      <c r="E45" s="471">
        <v>1</v>
      </c>
      <c r="F45" s="468" t="s">
        <v>1985</v>
      </c>
      <c r="G45" s="468"/>
    </row>
    <row r="46" spans="1:7" ht="19.5" customHeight="1">
      <c r="A46" s="3500"/>
      <c r="B46" s="3506"/>
      <c r="C46" s="469" t="s">
        <v>1986</v>
      </c>
      <c r="D46" s="470"/>
      <c r="E46" s="471">
        <v>1</v>
      </c>
      <c r="F46" s="468" t="s">
        <v>1987</v>
      </c>
      <c r="G46" s="468"/>
    </row>
    <row r="47" spans="1:7" ht="19.5" customHeight="1">
      <c r="A47" s="3500"/>
      <c r="B47" s="3506"/>
      <c r="C47" s="469" t="s">
        <v>1988</v>
      </c>
      <c r="D47" s="470"/>
      <c r="E47" s="471">
        <v>1</v>
      </c>
      <c r="F47" s="468" t="s">
        <v>1989</v>
      </c>
      <c r="G47" s="468"/>
    </row>
    <row r="48" spans="1:7" ht="19.5" customHeight="1">
      <c r="A48" s="3500"/>
      <c r="B48" s="3506"/>
      <c r="C48" s="469" t="s">
        <v>1990</v>
      </c>
      <c r="D48" s="470"/>
      <c r="E48" s="471">
        <v>1</v>
      </c>
      <c r="F48" s="468" t="s">
        <v>1991</v>
      </c>
      <c r="G48" s="468"/>
    </row>
    <row r="49" spans="1:7" ht="19.5" customHeight="1">
      <c r="A49" s="3500"/>
      <c r="B49" s="3506"/>
      <c r="C49" s="469" t="s">
        <v>1992</v>
      </c>
      <c r="D49" s="470"/>
      <c r="E49" s="471">
        <v>1</v>
      </c>
      <c r="F49" s="468" t="s">
        <v>1993</v>
      </c>
      <c r="G49" s="468"/>
    </row>
    <row r="50" spans="1:7" ht="19.5" customHeight="1">
      <c r="A50" s="3500"/>
      <c r="B50" s="3506"/>
      <c r="C50" s="469" t="s">
        <v>1994</v>
      </c>
      <c r="D50" s="470"/>
      <c r="E50" s="471">
        <v>1</v>
      </c>
      <c r="F50" s="468" t="s">
        <v>1995</v>
      </c>
      <c r="G50" s="468"/>
    </row>
    <row r="51" spans="1:7" ht="19.5" customHeight="1">
      <c r="A51" s="3501"/>
      <c r="B51" s="3507"/>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08" t="s">
        <v>2007</v>
      </c>
      <c r="C73" s="457" t="s">
        <v>2008</v>
      </c>
      <c r="D73" s="457" t="s">
        <v>2009</v>
      </c>
      <c r="E73" s="481">
        <v>0.2</v>
      </c>
      <c r="F73" s="481">
        <v>25</v>
      </c>
    </row>
    <row r="74" spans="1:7" ht="24">
      <c r="A74" s="481">
        <v>2</v>
      </c>
      <c r="B74" s="3506"/>
      <c r="C74" s="457" t="s">
        <v>2010</v>
      </c>
      <c r="D74" s="457" t="s">
        <v>2011</v>
      </c>
      <c r="E74" s="481">
        <v>0.2</v>
      </c>
      <c r="F74" s="481">
        <v>25</v>
      </c>
    </row>
    <row r="75" spans="1:7" ht="24">
      <c r="A75" s="481">
        <v>3</v>
      </c>
      <c r="B75" s="3506"/>
      <c r="C75" s="457" t="s">
        <v>2012</v>
      </c>
      <c r="D75" s="457" t="s">
        <v>2013</v>
      </c>
      <c r="E75" s="481">
        <v>0.2</v>
      </c>
      <c r="F75" s="481">
        <v>25</v>
      </c>
    </row>
    <row r="76" spans="1:7" ht="14.4">
      <c r="A76" s="481">
        <v>4</v>
      </c>
      <c r="B76" s="3506"/>
      <c r="C76" s="457" t="s">
        <v>2014</v>
      </c>
      <c r="D76" s="457" t="s">
        <v>2015</v>
      </c>
      <c r="E76" s="481">
        <v>0.15</v>
      </c>
      <c r="F76" s="481">
        <v>20</v>
      </c>
    </row>
    <row r="77" spans="1:7" ht="24">
      <c r="A77" s="481">
        <v>5</v>
      </c>
      <c r="B77" s="3506"/>
      <c r="C77" s="457" t="s">
        <v>2016</v>
      </c>
      <c r="D77" s="457" t="s">
        <v>2017</v>
      </c>
      <c r="E77" s="481">
        <v>0.15</v>
      </c>
      <c r="F77" s="481">
        <v>20</v>
      </c>
    </row>
    <row r="78" spans="1:7" ht="24">
      <c r="A78" s="481">
        <v>6</v>
      </c>
      <c r="B78" s="3506"/>
      <c r="C78" s="457" t="s">
        <v>2018</v>
      </c>
      <c r="D78" s="457" t="s">
        <v>2019</v>
      </c>
      <c r="E78" s="481">
        <v>0.15</v>
      </c>
      <c r="F78" s="481">
        <v>20</v>
      </c>
    </row>
    <row r="79" spans="1:7" ht="24">
      <c r="A79" s="481">
        <v>7</v>
      </c>
      <c r="B79" s="3506"/>
      <c r="C79" s="457" t="s">
        <v>2020</v>
      </c>
      <c r="D79" s="457" t="s">
        <v>2021</v>
      </c>
      <c r="E79" s="481">
        <v>0.15</v>
      </c>
      <c r="F79" s="481">
        <v>20</v>
      </c>
    </row>
    <row r="80" spans="1:7" ht="24">
      <c r="A80" s="481">
        <v>8</v>
      </c>
      <c r="B80" s="3506"/>
      <c r="C80" s="457" t="s">
        <v>2022</v>
      </c>
      <c r="D80" s="457" t="s">
        <v>2023</v>
      </c>
      <c r="E80" s="481">
        <v>0.1</v>
      </c>
      <c r="F80" s="481">
        <v>15</v>
      </c>
    </row>
    <row r="81" spans="1:6" ht="24">
      <c r="A81" s="481">
        <v>9</v>
      </c>
      <c r="B81" s="3506"/>
      <c r="C81" s="457" t="s">
        <v>2024</v>
      </c>
      <c r="D81" s="457" t="s">
        <v>2025</v>
      </c>
      <c r="E81" s="481">
        <v>0.1</v>
      </c>
      <c r="F81" s="481">
        <v>15</v>
      </c>
    </row>
    <row r="82" spans="1:6" ht="24">
      <c r="A82" s="481">
        <v>10</v>
      </c>
      <c r="B82" s="3506"/>
      <c r="C82" s="457" t="s">
        <v>2026</v>
      </c>
      <c r="D82" s="457" t="s">
        <v>2027</v>
      </c>
      <c r="E82" s="481">
        <v>0.1</v>
      </c>
      <c r="F82" s="481">
        <v>15</v>
      </c>
    </row>
    <row r="83" spans="1:6" ht="24">
      <c r="A83" s="481">
        <v>11</v>
      </c>
      <c r="B83" s="3506"/>
      <c r="C83" s="457" t="s">
        <v>2028</v>
      </c>
      <c r="D83" s="457" t="s">
        <v>2029</v>
      </c>
      <c r="E83" s="481">
        <v>0.1</v>
      </c>
      <c r="F83" s="481">
        <v>15</v>
      </c>
    </row>
    <row r="84" spans="1:6" ht="24">
      <c r="A84" s="481">
        <v>12</v>
      </c>
      <c r="B84" s="3506"/>
      <c r="C84" s="457" t="s">
        <v>2030</v>
      </c>
      <c r="D84" s="457" t="s">
        <v>2031</v>
      </c>
      <c r="E84" s="481">
        <v>0.1</v>
      </c>
      <c r="F84" s="481">
        <v>15</v>
      </c>
    </row>
    <row r="85" spans="1:6" ht="24">
      <c r="A85" s="481">
        <v>13</v>
      </c>
      <c r="B85" s="3506"/>
      <c r="C85" s="457" t="s">
        <v>2032</v>
      </c>
      <c r="D85" s="457" t="s">
        <v>2033</v>
      </c>
      <c r="E85" s="481">
        <v>0.1</v>
      </c>
      <c r="F85" s="481">
        <v>15</v>
      </c>
    </row>
    <row r="86" spans="1:6" ht="24">
      <c r="A86" s="481">
        <v>14</v>
      </c>
      <c r="B86" s="3506"/>
      <c r="C86" s="457" t="s">
        <v>2034</v>
      </c>
      <c r="D86" s="457" t="s">
        <v>2035</v>
      </c>
      <c r="E86" s="481">
        <v>0.1</v>
      </c>
      <c r="F86" s="481">
        <v>15</v>
      </c>
    </row>
    <row r="87" spans="1:6" ht="24">
      <c r="A87" s="481">
        <v>15</v>
      </c>
      <c r="B87" s="3506"/>
      <c r="C87" s="457" t="s">
        <v>2036</v>
      </c>
      <c r="D87" s="457" t="s">
        <v>2037</v>
      </c>
      <c r="E87" s="481">
        <v>0.1</v>
      </c>
      <c r="F87" s="481">
        <v>15</v>
      </c>
    </row>
    <row r="88" spans="1:6" ht="24">
      <c r="A88" s="481">
        <v>16</v>
      </c>
      <c r="B88" s="3506"/>
      <c r="C88" s="457" t="s">
        <v>2038</v>
      </c>
      <c r="D88" s="457" t="s">
        <v>2039</v>
      </c>
      <c r="E88" s="481">
        <v>0.1</v>
      </c>
      <c r="F88" s="481">
        <v>15</v>
      </c>
    </row>
    <row r="89" spans="1:6" ht="24">
      <c r="A89" s="481">
        <v>17</v>
      </c>
      <c r="B89" s="3509"/>
      <c r="C89" s="457" t="s">
        <v>2040</v>
      </c>
      <c r="D89" s="457" t="s">
        <v>2041</v>
      </c>
      <c r="E89" s="481">
        <v>0.1</v>
      </c>
      <c r="F89" s="481">
        <v>15</v>
      </c>
    </row>
    <row r="90" spans="1:6" ht="14.4">
      <c r="A90" s="481">
        <v>18</v>
      </c>
      <c r="B90" s="3508" t="s">
        <v>2042</v>
      </c>
      <c r="C90" s="457" t="s">
        <v>2043</v>
      </c>
      <c r="D90" s="457" t="s">
        <v>2044</v>
      </c>
      <c r="E90" s="481">
        <v>0.2</v>
      </c>
      <c r="F90" s="481">
        <v>25</v>
      </c>
    </row>
    <row r="91" spans="1:6" ht="24">
      <c r="A91" s="481">
        <v>19</v>
      </c>
      <c r="B91" s="3506"/>
      <c r="C91" s="457" t="s">
        <v>2045</v>
      </c>
      <c r="D91" s="457" t="s">
        <v>2046</v>
      </c>
      <c r="E91" s="481">
        <v>0.2</v>
      </c>
      <c r="F91" s="481">
        <v>25</v>
      </c>
    </row>
    <row r="92" spans="1:6" ht="14.4">
      <c r="A92" s="481">
        <v>20</v>
      </c>
      <c r="B92" s="3506"/>
      <c r="C92" s="457" t="s">
        <v>2047</v>
      </c>
      <c r="D92" s="457" t="s">
        <v>2048</v>
      </c>
      <c r="E92" s="481">
        <v>0.15</v>
      </c>
      <c r="F92" s="481">
        <v>20</v>
      </c>
    </row>
    <row r="93" spans="1:6" ht="24">
      <c r="A93" s="481">
        <v>21</v>
      </c>
      <c r="B93" s="3506"/>
      <c r="C93" s="457" t="s">
        <v>2049</v>
      </c>
      <c r="D93" s="457" t="s">
        <v>2050</v>
      </c>
      <c r="E93" s="481">
        <v>0.15</v>
      </c>
      <c r="F93" s="481">
        <v>20</v>
      </c>
    </row>
    <row r="94" spans="1:6" ht="24">
      <c r="A94" s="481">
        <v>22</v>
      </c>
      <c r="B94" s="3506"/>
      <c r="C94" s="457" t="s">
        <v>2051</v>
      </c>
      <c r="D94" s="457" t="s">
        <v>2052</v>
      </c>
      <c r="E94" s="481">
        <v>0.15</v>
      </c>
      <c r="F94" s="481">
        <v>20</v>
      </c>
    </row>
    <row r="95" spans="1:6" ht="36">
      <c r="A95" s="481">
        <v>23</v>
      </c>
      <c r="B95" s="3506"/>
      <c r="C95" s="457" t="s">
        <v>2053</v>
      </c>
      <c r="D95" s="457" t="s">
        <v>2054</v>
      </c>
      <c r="E95" s="481">
        <v>0.15</v>
      </c>
      <c r="F95" s="481">
        <v>20</v>
      </c>
    </row>
    <row r="96" spans="1:6" ht="24">
      <c r="A96" s="481">
        <v>24</v>
      </c>
      <c r="B96" s="3506"/>
      <c r="C96" s="457" t="s">
        <v>2055</v>
      </c>
      <c r="D96" s="457" t="s">
        <v>2056</v>
      </c>
      <c r="E96" s="481">
        <v>0.1</v>
      </c>
      <c r="F96" s="481">
        <v>15</v>
      </c>
    </row>
    <row r="97" spans="1:6" ht="24">
      <c r="A97" s="481">
        <v>25</v>
      </c>
      <c r="B97" s="3506"/>
      <c r="C97" s="457" t="s">
        <v>2057</v>
      </c>
      <c r="D97" s="457" t="s">
        <v>2058</v>
      </c>
      <c r="E97" s="481">
        <v>0.1</v>
      </c>
      <c r="F97" s="481">
        <v>15</v>
      </c>
    </row>
    <row r="98" spans="1:6" ht="24">
      <c r="A98" s="481">
        <v>26</v>
      </c>
      <c r="B98" s="3506"/>
      <c r="C98" s="457" t="s">
        <v>2059</v>
      </c>
      <c r="D98" s="457" t="s">
        <v>2060</v>
      </c>
      <c r="E98" s="481">
        <v>0.1</v>
      </c>
      <c r="F98" s="481">
        <v>15</v>
      </c>
    </row>
    <row r="99" spans="1:6" ht="24">
      <c r="A99" s="481">
        <v>27</v>
      </c>
      <c r="B99" s="3506"/>
      <c r="C99" s="457" t="s">
        <v>2061</v>
      </c>
      <c r="D99" s="457" t="s">
        <v>2062</v>
      </c>
      <c r="E99" s="481">
        <v>0.1</v>
      </c>
      <c r="F99" s="481">
        <v>15</v>
      </c>
    </row>
    <row r="100" spans="1:6" ht="24">
      <c r="A100" s="481">
        <v>28</v>
      </c>
      <c r="B100" s="3506"/>
      <c r="C100" s="457" t="s">
        <v>2063</v>
      </c>
      <c r="D100" s="457" t="s">
        <v>2064</v>
      </c>
      <c r="E100" s="481">
        <v>0.1</v>
      </c>
      <c r="F100" s="481">
        <v>15</v>
      </c>
    </row>
    <row r="101" spans="1:6" ht="24">
      <c r="A101" s="481">
        <v>29</v>
      </c>
      <c r="B101" s="3506"/>
      <c r="C101" s="457" t="s">
        <v>2065</v>
      </c>
      <c r="D101" s="457" t="s">
        <v>2066</v>
      </c>
      <c r="E101" s="481">
        <v>0.1</v>
      </c>
      <c r="F101" s="481">
        <v>15</v>
      </c>
    </row>
    <row r="102" spans="1:6" ht="24">
      <c r="A102" s="481">
        <v>30</v>
      </c>
      <c r="B102" s="3506"/>
      <c r="C102" s="457" t="s">
        <v>2067</v>
      </c>
      <c r="D102" s="457" t="s">
        <v>2068</v>
      </c>
      <c r="E102" s="481">
        <v>0.1</v>
      </c>
      <c r="F102" s="481">
        <v>15</v>
      </c>
    </row>
    <row r="103" spans="1:6" ht="24">
      <c r="A103" s="481">
        <v>31</v>
      </c>
      <c r="B103" s="3506"/>
      <c r="C103" s="457" t="s">
        <v>2069</v>
      </c>
      <c r="D103" s="457" t="s">
        <v>2070</v>
      </c>
      <c r="E103" s="481">
        <v>0.1</v>
      </c>
      <c r="F103" s="481">
        <v>15</v>
      </c>
    </row>
    <row r="104" spans="1:6" ht="24">
      <c r="A104" s="481">
        <v>32</v>
      </c>
      <c r="B104" s="3506"/>
      <c r="C104" s="457" t="s">
        <v>2071</v>
      </c>
      <c r="D104" s="457" t="s">
        <v>2072</v>
      </c>
      <c r="E104" s="481">
        <v>0.1</v>
      </c>
      <c r="F104" s="481">
        <v>15</v>
      </c>
    </row>
    <row r="105" spans="1:6" ht="24">
      <c r="A105" s="481">
        <v>33</v>
      </c>
      <c r="B105" s="3506"/>
      <c r="C105" s="457" t="s">
        <v>2073</v>
      </c>
      <c r="D105" s="457" t="s">
        <v>2074</v>
      </c>
      <c r="E105" s="481">
        <v>0.1</v>
      </c>
      <c r="F105" s="481">
        <v>15</v>
      </c>
    </row>
    <row r="106" spans="1:6" ht="24">
      <c r="A106" s="481">
        <v>34</v>
      </c>
      <c r="B106" s="3509"/>
      <c r="C106" s="457" t="s">
        <v>2075</v>
      </c>
      <c r="D106" s="457" t="s">
        <v>2076</v>
      </c>
      <c r="E106" s="481">
        <v>0.1</v>
      </c>
      <c r="F106" s="481">
        <v>15</v>
      </c>
    </row>
    <row r="107" spans="1:6" ht="36">
      <c r="A107" s="481">
        <v>35</v>
      </c>
      <c r="B107" s="3508" t="s">
        <v>2077</v>
      </c>
      <c r="C107" s="481" t="s">
        <v>2078</v>
      </c>
      <c r="D107" s="457" t="s">
        <v>2079</v>
      </c>
      <c r="E107" s="481">
        <v>0.15</v>
      </c>
      <c r="F107" s="481">
        <v>20</v>
      </c>
    </row>
    <row r="108" spans="1:6" ht="24">
      <c r="A108" s="481">
        <v>36</v>
      </c>
      <c r="B108" s="3506"/>
      <c r="C108" s="481" t="s">
        <v>2080</v>
      </c>
      <c r="D108" s="457" t="s">
        <v>2081</v>
      </c>
      <c r="E108" s="481">
        <v>0.15</v>
      </c>
      <c r="F108" s="481">
        <v>20</v>
      </c>
    </row>
    <row r="109" spans="1:6" ht="24">
      <c r="A109" s="481">
        <v>37</v>
      </c>
      <c r="B109" s="3506"/>
      <c r="C109" s="481" t="s">
        <v>2082</v>
      </c>
      <c r="D109" s="457" t="s">
        <v>2083</v>
      </c>
      <c r="E109" s="481">
        <v>0.15</v>
      </c>
      <c r="F109" s="481">
        <v>20</v>
      </c>
    </row>
    <row r="110" spans="1:6" ht="24">
      <c r="A110" s="481">
        <v>38</v>
      </c>
      <c r="B110" s="3506"/>
      <c r="C110" s="481" t="s">
        <v>2084</v>
      </c>
      <c r="D110" s="457" t="s">
        <v>2085</v>
      </c>
      <c r="E110" s="481">
        <v>0.1</v>
      </c>
      <c r="F110" s="481">
        <v>15</v>
      </c>
    </row>
    <row r="111" spans="1:6" ht="24">
      <c r="A111" s="481">
        <v>39</v>
      </c>
      <c r="B111" s="3506"/>
      <c r="C111" s="481" t="s">
        <v>2086</v>
      </c>
      <c r="D111" s="457" t="s">
        <v>2087</v>
      </c>
      <c r="E111" s="481">
        <v>0.1</v>
      </c>
      <c r="F111" s="481">
        <v>15</v>
      </c>
    </row>
    <row r="112" spans="1:6" ht="24">
      <c r="A112" s="481">
        <v>40</v>
      </c>
      <c r="B112" s="3509"/>
      <c r="C112" s="481" t="s">
        <v>2088</v>
      </c>
      <c r="D112" s="457" t="s">
        <v>2089</v>
      </c>
      <c r="E112" s="481">
        <v>0.1</v>
      </c>
      <c r="F112" s="481">
        <v>15</v>
      </c>
    </row>
    <row r="113" spans="1:6" ht="24">
      <c r="A113" s="481">
        <v>41</v>
      </c>
      <c r="B113" s="3510" t="s">
        <v>2090</v>
      </c>
      <c r="C113" s="481" t="s">
        <v>2091</v>
      </c>
      <c r="D113" s="457" t="s">
        <v>2092</v>
      </c>
      <c r="E113" s="481">
        <v>0.1</v>
      </c>
      <c r="F113" s="481">
        <v>15</v>
      </c>
    </row>
    <row r="114" spans="1:6" ht="24">
      <c r="A114" s="481">
        <v>42</v>
      </c>
      <c r="B114" s="3510"/>
      <c r="C114" s="481" t="s">
        <v>2093</v>
      </c>
      <c r="D114" s="457" t="s">
        <v>2094</v>
      </c>
      <c r="E114" s="481">
        <v>0.1</v>
      </c>
      <c r="F114" s="481">
        <v>15</v>
      </c>
    </row>
    <row r="115" spans="1:6" ht="24">
      <c r="A115" s="481">
        <v>43</v>
      </c>
      <c r="B115" s="3510"/>
      <c r="C115" s="481" t="s">
        <v>2095</v>
      </c>
      <c r="D115" s="457" t="s">
        <v>2096</v>
      </c>
      <c r="E115" s="481">
        <v>0.1</v>
      </c>
      <c r="F115" s="481">
        <v>15</v>
      </c>
    </row>
    <row r="116" spans="1:6" ht="24">
      <c r="A116" s="481">
        <v>44</v>
      </c>
      <c r="B116" s="3508" t="s">
        <v>2097</v>
      </c>
      <c r="C116" s="481" t="s">
        <v>2098</v>
      </c>
      <c r="D116" s="457" t="s">
        <v>2099</v>
      </c>
      <c r="E116" s="481">
        <v>0.1</v>
      </c>
      <c r="F116" s="481">
        <v>15</v>
      </c>
    </row>
    <row r="117" spans="1:6" ht="24">
      <c r="A117" s="481">
        <v>45</v>
      </c>
      <c r="B117" s="3509"/>
      <c r="C117" s="457" t="s">
        <v>2100</v>
      </c>
      <c r="D117" s="457" t="s">
        <v>2101</v>
      </c>
      <c r="E117" s="481">
        <v>0.1</v>
      </c>
      <c r="F117" s="481">
        <v>15</v>
      </c>
    </row>
    <row r="118" spans="1:6" ht="24">
      <c r="A118" s="481">
        <v>46</v>
      </c>
      <c r="B118" s="3508" t="s">
        <v>2102</v>
      </c>
      <c r="C118" s="481" t="s">
        <v>2103</v>
      </c>
      <c r="D118" s="457" t="s">
        <v>2104</v>
      </c>
      <c r="E118" s="481">
        <v>0.1</v>
      </c>
      <c r="F118" s="481">
        <v>15</v>
      </c>
    </row>
    <row r="119" spans="1:6" ht="24">
      <c r="A119" s="481">
        <v>47</v>
      </c>
      <c r="B119" s="3509"/>
      <c r="C119" s="481" t="s">
        <v>2105</v>
      </c>
      <c r="D119" s="457" t="s">
        <v>2106</v>
      </c>
      <c r="E119" s="481">
        <v>0.1</v>
      </c>
      <c r="F119" s="481">
        <v>15</v>
      </c>
    </row>
    <row r="120" spans="1:6" ht="24">
      <c r="A120" s="481">
        <v>48</v>
      </c>
      <c r="B120" s="3508" t="s">
        <v>2107</v>
      </c>
      <c r="C120" s="481" t="s">
        <v>2108</v>
      </c>
      <c r="D120" s="457" t="s">
        <v>2109</v>
      </c>
      <c r="E120" s="481">
        <v>0.1</v>
      </c>
      <c r="F120" s="481">
        <v>15</v>
      </c>
    </row>
    <row r="121" spans="1:6" ht="24">
      <c r="A121" s="481">
        <v>49</v>
      </c>
      <c r="B121" s="3509"/>
      <c r="C121" s="481" t="s">
        <v>2110</v>
      </c>
      <c r="D121" s="457" t="s">
        <v>2111</v>
      </c>
      <c r="E121" s="481">
        <v>0.1</v>
      </c>
      <c r="F121" s="481">
        <v>15</v>
      </c>
    </row>
    <row r="122" spans="1:6" ht="24">
      <c r="A122" s="481">
        <v>50</v>
      </c>
      <c r="B122" s="3510" t="s">
        <v>2112</v>
      </c>
      <c r="C122" s="481" t="s">
        <v>2113</v>
      </c>
      <c r="D122" s="457" t="s">
        <v>2114</v>
      </c>
      <c r="E122" s="481">
        <v>0.1</v>
      </c>
      <c r="F122" s="481">
        <v>15</v>
      </c>
    </row>
    <row r="123" spans="1:6" ht="24">
      <c r="A123" s="481">
        <v>51</v>
      </c>
      <c r="B123" s="3510"/>
      <c r="C123" s="481" t="s">
        <v>2115</v>
      </c>
      <c r="D123" s="457" t="s">
        <v>2116</v>
      </c>
      <c r="E123" s="481">
        <v>0.1</v>
      </c>
      <c r="F123" s="481">
        <v>15</v>
      </c>
    </row>
    <row r="124" spans="1:6" ht="24">
      <c r="A124" s="481">
        <v>52</v>
      </c>
      <c r="B124" s="3510" t="s">
        <v>2117</v>
      </c>
      <c r="C124" s="481" t="s">
        <v>2118</v>
      </c>
      <c r="D124" s="457" t="s">
        <v>2119</v>
      </c>
      <c r="E124" s="481">
        <v>0.1</v>
      </c>
      <c r="F124" s="481">
        <v>15</v>
      </c>
    </row>
    <row r="125" spans="1:6" ht="24">
      <c r="A125" s="481">
        <v>53</v>
      </c>
      <c r="B125" s="3510"/>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10" t="s">
        <v>2125</v>
      </c>
      <c r="C127" s="481" t="s">
        <v>2126</v>
      </c>
      <c r="D127" s="457" t="s">
        <v>2127</v>
      </c>
      <c r="E127" s="481">
        <v>0.1</v>
      </c>
      <c r="F127" s="481">
        <v>15</v>
      </c>
    </row>
    <row r="128" spans="1:6" ht="24">
      <c r="A128" s="481">
        <v>56</v>
      </c>
      <c r="B128" s="3510"/>
      <c r="C128" s="481" t="s">
        <v>2128</v>
      </c>
      <c r="D128" s="457" t="s">
        <v>2129</v>
      </c>
      <c r="E128" s="481">
        <v>0.1</v>
      </c>
      <c r="F128" s="481">
        <v>15</v>
      </c>
    </row>
    <row r="129" spans="1:6" ht="24">
      <c r="A129" s="481">
        <v>57</v>
      </c>
      <c r="B129" s="3510"/>
      <c r="C129" s="481" t="s">
        <v>2130</v>
      </c>
      <c r="D129" s="457" t="s">
        <v>2131</v>
      </c>
      <c r="E129" s="481">
        <v>0.1</v>
      </c>
      <c r="F129" s="481">
        <v>15</v>
      </c>
    </row>
    <row r="130" spans="1:6" ht="24">
      <c r="A130" s="481">
        <v>58</v>
      </c>
      <c r="B130" s="3510" t="s">
        <v>2132</v>
      </c>
      <c r="C130" s="481" t="s">
        <v>2133</v>
      </c>
      <c r="D130" s="457" t="s">
        <v>2134</v>
      </c>
      <c r="E130" s="481">
        <v>0.1</v>
      </c>
      <c r="F130" s="481">
        <v>15</v>
      </c>
    </row>
    <row r="131" spans="1:6" ht="24">
      <c r="A131" s="481">
        <v>59</v>
      </c>
      <c r="B131" s="3510"/>
      <c r="C131" s="481" t="s">
        <v>2135</v>
      </c>
      <c r="D131" s="457" t="s">
        <v>2136</v>
      </c>
      <c r="E131" s="481">
        <v>0.1</v>
      </c>
      <c r="F131" s="481">
        <v>15</v>
      </c>
    </row>
    <row r="132" spans="1:6" ht="24">
      <c r="A132" s="481">
        <v>60</v>
      </c>
      <c r="B132" s="3508" t="s">
        <v>2137</v>
      </c>
      <c r="C132" s="481" t="s">
        <v>2138</v>
      </c>
      <c r="D132" s="457" t="s">
        <v>2139</v>
      </c>
      <c r="E132" s="481">
        <v>0.1</v>
      </c>
      <c r="F132" s="481">
        <v>15</v>
      </c>
    </row>
    <row r="133" spans="1:6" ht="24">
      <c r="A133" s="481">
        <v>61</v>
      </c>
      <c r="B133" s="3509"/>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10" t="s">
        <v>2145</v>
      </c>
      <c r="C135" s="481" t="s">
        <v>2146</v>
      </c>
      <c r="D135" s="457" t="s">
        <v>2147</v>
      </c>
      <c r="E135" s="481">
        <v>0.1</v>
      </c>
      <c r="F135" s="481">
        <v>15</v>
      </c>
    </row>
    <row r="136" spans="1:6" ht="24">
      <c r="A136" s="481">
        <v>64</v>
      </c>
      <c r="B136" s="3510"/>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75" t="s">
        <v>2226</v>
      </c>
    </row>
    <row r="43" spans="1:7" ht="13.5" customHeight="1">
      <c r="A43" s="386" t="s">
        <v>1008</v>
      </c>
      <c r="B43" s="359" t="s">
        <v>2198</v>
      </c>
      <c r="C43" s="388">
        <f ca="1">ROUND(IF('数据-取费表'!B22&lt;=1,C39*F22*'数据-取费表'!B21/2,C39*(POWER((1+F22),'数据-取费表'!B21/2)-1)),0)</f>
        <v>0</v>
      </c>
      <c r="D43" s="388"/>
      <c r="E43" s="388"/>
      <c r="F43" s="389"/>
      <c r="G43" s="3376"/>
    </row>
    <row r="44" spans="1:7" ht="13.5" customHeight="1">
      <c r="A44" s="386" t="s">
        <v>1010</v>
      </c>
      <c r="B44" s="359" t="s">
        <v>2200</v>
      </c>
      <c r="C44" s="388">
        <f ca="1">ROUND(IF('数据-取费表'!B22&lt;=1,C40*F22*'数据-取费表'!B21/2,C40*(POWER((1+F22),'数据-取费表'!B21/2)-1)),4)</f>
        <v>5.9999999999999995E-4</v>
      </c>
      <c r="D44" s="388"/>
      <c r="E44" s="388"/>
      <c r="F44" s="389"/>
      <c r="G44" s="3377"/>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6.2">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7.399999999999999">
      <c r="A3" s="3200" t="str">
        <f>IF(项目基本情况!B9="房地产市场价值","估价结果一览表（市场价值不需“结果表-1”）","估价结果一览表")</f>
        <v>估价结果一览表</v>
      </c>
      <c r="B3" s="3200"/>
      <c r="C3" s="3200"/>
      <c r="D3" s="3200"/>
      <c r="E3" s="3200"/>
    </row>
    <row r="4" spans="1:5" ht="17.399999999999999">
      <c r="A4" s="3128"/>
      <c r="B4" s="3201" t="s">
        <v>95</v>
      </c>
      <c r="C4" s="3201"/>
      <c r="D4" s="3201"/>
      <c r="E4" s="3128"/>
    </row>
    <row r="5" spans="1:5" ht="15.6">
      <c r="B5" s="3193" t="s">
        <v>96</v>
      </c>
      <c r="C5" s="3129" t="s">
        <v>97</v>
      </c>
      <c r="D5" s="3130">
        <f ca="1">结果表110!H101</f>
        <v>1056</v>
      </c>
    </row>
    <row r="6" spans="1:5" ht="15.6">
      <c r="B6" s="3193"/>
      <c r="C6" s="3129" t="s">
        <v>98</v>
      </c>
      <c r="D6" s="3130" t="str">
        <f ca="1">NUMBERSTRING(INT(D5*10000),2)&amp;"元整"</f>
        <v>壹仟零伍拾陆万元整</v>
      </c>
    </row>
    <row r="7" spans="1:5" ht="15.6">
      <c r="B7" s="3194"/>
      <c r="C7" s="3131" t="s">
        <v>99</v>
      </c>
      <c r="D7" s="3132">
        <f ca="1">结果表110!H102</f>
        <v>29717</v>
      </c>
    </row>
    <row r="8" spans="1:5" ht="15.6">
      <c r="B8" s="3195" t="str">
        <f>结果表110!E103</f>
        <v>2.估价师知悉的法定优先受偿款</v>
      </c>
      <c r="C8" s="3133" t="s">
        <v>100</v>
      </c>
      <c r="D8" s="3132">
        <f>结果表110!H103</f>
        <v>0</v>
      </c>
    </row>
    <row r="9" spans="1:5" ht="15.6">
      <c r="B9" s="3197"/>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2" t="str">
        <f>结果表110!E107</f>
        <v>3.房地产抵押价值</v>
      </c>
      <c r="C13" s="3137" t="s">
        <v>97</v>
      </c>
      <c r="D13" s="3138">
        <f ca="1">结果表110!H107</f>
        <v>1056</v>
      </c>
    </row>
    <row r="14" spans="1:5" ht="15.6">
      <c r="B14" s="3193"/>
      <c r="C14" s="3129" t="s">
        <v>98</v>
      </c>
      <c r="D14" s="3130" t="str">
        <f ca="1">NUMBERSTRING(INT(D13*10000),2)&amp;"元整"</f>
        <v>壹仟零伍拾陆万元整</v>
      </c>
    </row>
    <row r="15" spans="1:5" ht="15.6">
      <c r="B15" s="3194"/>
      <c r="C15" s="3131" t="s">
        <v>99</v>
      </c>
      <c r="D15" s="3139">
        <f ca="1">结果表110!H108</f>
        <v>29717</v>
      </c>
    </row>
    <row r="16" spans="1:5" ht="15.6">
      <c r="B16" s="3195" t="str">
        <f>结果表110!E109</f>
        <v>——</v>
      </c>
      <c r="C16" s="3137" t="s">
        <v>97</v>
      </c>
      <c r="D16" s="3140" t="str">
        <f>结果表110!H109</f>
        <v>——</v>
      </c>
    </row>
    <row r="17" spans="1:5" ht="15.6">
      <c r="B17" s="3196"/>
      <c r="C17" s="3129" t="s">
        <v>98</v>
      </c>
      <c r="D17" s="3130" t="e">
        <f>NUMBERSTRING(INT(D16*10000),2)&amp;"元整"</f>
        <v>#VALUE!</v>
      </c>
    </row>
    <row r="18" spans="1:5" ht="15.6">
      <c r="B18" s="3197"/>
      <c r="C18" s="3131" t="s">
        <v>99</v>
      </c>
      <c r="D18" s="3139" t="str">
        <f>结果表110!H110</f>
        <v>——</v>
      </c>
    </row>
    <row r="19" spans="1:5" ht="15.6">
      <c r="B19" s="3192" t="str">
        <f>结果表110!E111</f>
        <v>——</v>
      </c>
      <c r="C19" s="3137" t="s">
        <v>97</v>
      </c>
      <c r="D19" s="3132" t="str">
        <f>结果表110!H111</f>
        <v>——</v>
      </c>
    </row>
    <row r="20" spans="1:5" ht="15.6">
      <c r="B20" s="3193"/>
      <c r="C20" s="3129" t="s">
        <v>98</v>
      </c>
      <c r="D20" s="3130" t="e">
        <f>NUMBERSTRING(INT(D19*10000),2)&amp;"元整"</f>
        <v>#VALUE!</v>
      </c>
    </row>
    <row r="21" spans="1:5" ht="15.6">
      <c r="B21" s="3198"/>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1" t="s">
        <v>2244</v>
      </c>
      <c r="B1" s="3511"/>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12" t="s">
        <v>2626</v>
      </c>
      <c r="B1" s="3512"/>
      <c r="C1" s="3512"/>
      <c r="D1" s="3512"/>
      <c r="E1" s="3512"/>
      <c r="F1" s="3513"/>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013E7-66D3-46E3-AC07-3D9EB1DB44FC}">
  <sheetPr codeName="Sheet46">
    <tabColor rgb="FFFF0000"/>
  </sheetPr>
  <dimension ref="A1:AJ512"/>
  <sheetViews>
    <sheetView view="pageBreakPreview" zoomScaleNormal="100" zoomScaleSheetLayoutView="100" zoomScalePageLayoutView="80" workbookViewId="0">
      <selection activeCell="I13" sqref="I1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281" t="str">
        <f>项目基本情况!S2</f>
        <v>北京市朝阳区西大望路15号3号楼6层604房地产</v>
      </c>
      <c r="B2" s="3282"/>
      <c r="C2" s="3282"/>
      <c r="D2" s="3282"/>
      <c r="E2" s="3282"/>
      <c r="F2" s="3282"/>
      <c r="G2" s="3282"/>
      <c r="H2" s="3282"/>
      <c r="I2" s="3283"/>
    </row>
    <row r="3" spans="1:12" ht="13.2">
      <c r="A3" s="3284" t="s">
        <v>780</v>
      </c>
      <c r="B3" s="3285"/>
      <c r="C3" s="3285"/>
      <c r="D3" s="3285"/>
      <c r="E3" s="3285"/>
      <c r="F3" s="3285"/>
      <c r="G3" s="3285"/>
      <c r="H3" s="3285"/>
      <c r="I3" s="3285"/>
    </row>
    <row r="4" spans="1:12" ht="14.4">
      <c r="A4" s="2119" t="s">
        <v>781</v>
      </c>
      <c r="B4" s="2120" t="s">
        <v>782</v>
      </c>
      <c r="C4" s="2121" t="s">
        <v>2860</v>
      </c>
      <c r="D4" s="2121" t="s">
        <v>2863</v>
      </c>
      <c r="E4" s="3286" t="s">
        <v>783</v>
      </c>
      <c r="F4" s="3287"/>
      <c r="G4" s="3287"/>
      <c r="H4" s="3287"/>
      <c r="I4" s="3288"/>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331" t="s">
        <v>784</v>
      </c>
      <c r="B5" s="3369">
        <v>25</v>
      </c>
      <c r="C5" s="3301"/>
      <c r="D5" s="3300"/>
      <c r="E5" s="1895" t="s">
        <v>785</v>
      </c>
      <c r="F5" s="2125"/>
      <c r="G5" s="2125"/>
      <c r="H5" s="2125"/>
      <c r="I5" s="2249"/>
    </row>
    <row r="6" spans="1:12" ht="13.2">
      <c r="A6" s="3331"/>
      <c r="B6" s="3369"/>
      <c r="C6" s="3302"/>
      <c r="D6" s="3300"/>
      <c r="E6" s="1895" t="s">
        <v>786</v>
      </c>
      <c r="F6" s="2125"/>
      <c r="G6" s="2125"/>
      <c r="H6" s="2125"/>
      <c r="I6" s="2249"/>
    </row>
    <row r="7" spans="1:12" ht="13.2">
      <c r="A7" s="3331"/>
      <c r="B7" s="3369"/>
      <c r="C7" s="3303"/>
      <c r="D7" s="3300"/>
      <c r="E7" s="1895" t="s">
        <v>787</v>
      </c>
      <c r="F7" s="2125"/>
      <c r="G7" s="2125"/>
      <c r="H7" s="2125"/>
      <c r="I7" s="2249"/>
    </row>
    <row r="8" spans="1:12" ht="13.2">
      <c r="A8" s="3331" t="s">
        <v>788</v>
      </c>
      <c r="B8" s="3369">
        <v>15</v>
      </c>
      <c r="C8" s="3301"/>
      <c r="D8" s="3300"/>
      <c r="E8" s="1895" t="s">
        <v>789</v>
      </c>
      <c r="F8" s="2125"/>
      <c r="G8" s="2125"/>
      <c r="H8" s="2125"/>
      <c r="I8" s="2249"/>
    </row>
    <row r="9" spans="1:12" ht="13.2">
      <c r="A9" s="3331"/>
      <c r="B9" s="3369"/>
      <c r="C9" s="3303"/>
      <c r="D9" s="3300"/>
      <c r="E9" s="1895" t="s">
        <v>790</v>
      </c>
      <c r="F9" s="2125"/>
      <c r="G9" s="2125"/>
      <c r="H9" s="2125"/>
      <c r="I9" s="2249"/>
    </row>
    <row r="10" spans="1:12" ht="13.2">
      <c r="A10" s="3331" t="s">
        <v>791</v>
      </c>
      <c r="B10" s="3369">
        <v>15</v>
      </c>
      <c r="C10" s="3301"/>
      <c r="D10" s="3300"/>
      <c r="E10" s="1895" t="s">
        <v>792</v>
      </c>
      <c r="F10" s="2125"/>
      <c r="G10" s="2125"/>
      <c r="H10" s="2125"/>
      <c r="I10" s="2249"/>
    </row>
    <row r="11" spans="1:12" ht="13.2">
      <c r="A11" s="3331"/>
      <c r="B11" s="3369"/>
      <c r="C11" s="3303"/>
      <c r="D11" s="3300"/>
      <c r="E11" s="1895" t="s">
        <v>793</v>
      </c>
      <c r="F11" s="2125"/>
      <c r="G11" s="2125"/>
      <c r="H11" s="2125"/>
      <c r="I11" s="2249"/>
    </row>
    <row r="12" spans="1:12" ht="13.2">
      <c r="A12" s="3331" t="s">
        <v>794</v>
      </c>
      <c r="B12" s="3369">
        <v>15</v>
      </c>
      <c r="C12" s="3301"/>
      <c r="D12" s="3300"/>
      <c r="E12" s="1895" t="s">
        <v>795</v>
      </c>
      <c r="F12" s="2125"/>
      <c r="G12" s="2125"/>
      <c r="H12" s="2125"/>
      <c r="I12" s="2249"/>
    </row>
    <row r="13" spans="1:12" ht="13.2">
      <c r="A13" s="3331"/>
      <c r="B13" s="3369"/>
      <c r="C13" s="3303"/>
      <c r="D13" s="3300"/>
      <c r="E13" s="1895" t="s">
        <v>796</v>
      </c>
      <c r="F13" s="2125"/>
      <c r="G13" s="2125"/>
      <c r="H13" s="2125"/>
      <c r="I13" s="2249"/>
    </row>
    <row r="14" spans="1:12" ht="13.2">
      <c r="A14" s="3331" t="s">
        <v>797</v>
      </c>
      <c r="B14" s="3369">
        <v>30</v>
      </c>
      <c r="C14" s="3301">
        <v>7</v>
      </c>
      <c r="D14" s="3300">
        <v>3</v>
      </c>
      <c r="E14" s="1895" t="s">
        <v>798</v>
      </c>
      <c r="F14" s="2125"/>
      <c r="G14" s="2125"/>
      <c r="H14" s="2125"/>
      <c r="I14" s="2249"/>
    </row>
    <row r="15" spans="1:12" ht="13.2">
      <c r="A15" s="3331"/>
      <c r="B15" s="3369"/>
      <c r="C15" s="3302"/>
      <c r="D15" s="3300"/>
      <c r="E15" s="1895" t="s">
        <v>799</v>
      </c>
      <c r="F15" s="2125"/>
      <c r="G15" s="2125"/>
      <c r="H15" s="2125"/>
      <c r="I15" s="2249"/>
    </row>
    <row r="16" spans="1:12" ht="13.2">
      <c r="A16" s="3331"/>
      <c r="B16" s="3369"/>
      <c r="C16" s="3303"/>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289" t="s">
        <v>805</v>
      </c>
      <c r="F18" s="3290"/>
      <c r="G18" s="3290"/>
      <c r="H18" s="3290"/>
      <c r="I18" s="3290"/>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806</v>
      </c>
      <c r="B19" s="2132" t="s">
        <v>807</v>
      </c>
      <c r="C19" s="2133">
        <f ca="1">SUMIF(INDIRECT("'"&amp;C4&amp;"'"&amp;"!A:A"),结果表111!B19,INDIRECT("'"&amp;C4&amp;"'"&amp;"!B:B"))</f>
        <v>1209.4065000000001</v>
      </c>
      <c r="D19" s="1245">
        <f ca="1">SUMIF(INDIRECT("'"&amp;D4&amp;"'"&amp;"!A:A"),结果表111!B19,INDIRECT("'"&amp;D4&amp;"'"&amp;"!B:B"))</f>
        <v>986.96270000000004</v>
      </c>
      <c r="E19" s="1129" t="s">
        <v>808</v>
      </c>
      <c r="F19" s="2132" t="s">
        <v>807</v>
      </c>
      <c r="G19" s="2134">
        <f ca="1">ROUND(C19*$C$18+D19*$D$18,0)</f>
        <v>1143</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SUMIF(INDIRECT("'"&amp;C4&amp;"'"&amp;"!A:A"),结果表111!B20,INDIRECT("'"&amp;C4&amp;"'"&amp;"!B:B"))</f>
        <v>32256</v>
      </c>
      <c r="D20" s="1602">
        <f ca="1">SUMIF(INDIRECT("'"&amp;D4&amp;"'"&amp;"!A:A"),结果表111!B20,INDIRECT("'"&amp;D4&amp;"'"&amp;"!B:B"))</f>
        <v>26323</v>
      </c>
      <c r="E20" s="2136"/>
      <c r="F20" s="2137" t="s">
        <v>810</v>
      </c>
      <c r="G20" s="2138">
        <f ca="1">ROUND(C20*$C$18+D20*$D$18,0)</f>
        <v>30476</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0.22538217503052538</v>
      </c>
      <c r="E22" s="1458"/>
      <c r="F22" s="1458"/>
      <c r="G22" s="1458"/>
      <c r="H22" s="1458"/>
      <c r="I22" s="1458"/>
    </row>
    <row r="23" spans="1:36" ht="13.8" thickBot="1">
      <c r="A23" s="1998"/>
      <c r="B23" s="1998"/>
      <c r="C23" s="1998"/>
      <c r="D23" s="1998"/>
      <c r="E23" s="1458"/>
      <c r="F23" s="1458"/>
      <c r="G23" s="1458"/>
      <c r="H23" s="1458"/>
      <c r="I23" s="1458"/>
    </row>
    <row r="24" spans="1:36" ht="14.4">
      <c r="A24" s="3362" t="s">
        <v>814</v>
      </c>
      <c r="B24" s="2132" t="s">
        <v>807</v>
      </c>
      <c r="C24" s="2134">
        <f>IF(B30=0,0,D30)</f>
        <v>0</v>
      </c>
      <c r="D24" s="2148"/>
      <c r="E24" s="1458"/>
      <c r="F24" s="1458"/>
      <c r="G24" s="1458"/>
      <c r="H24" s="1458"/>
      <c r="I24" s="1458"/>
    </row>
    <row r="25" spans="1:36" ht="14.4">
      <c r="A25" s="3363"/>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30476</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23284</v>
      </c>
      <c r="D34" s="2169">
        <f ca="1">IF(C33="自定义",ROUND(C34/C32,3),IF(C33="收益比率",SUMIF(INDIRECT("'"&amp;D33&amp;"'"&amp;"!b:b"),"土地收益比率",INDIRECT("'"&amp;D33&amp;"'"&amp;"!c:c")),SUMIF(INDIRECT("'"&amp;D33&amp;"'"&amp;"!b:b"),"土地成本比率",INDIRECT("'"&amp;D33&amp;"'"&amp;"!c:c"))))</f>
        <v>0.76400000000000001</v>
      </c>
      <c r="E34" s="2170" t="s">
        <v>827</v>
      </c>
      <c r="F34" s="2171"/>
      <c r="G34" s="1458"/>
      <c r="H34" s="1458"/>
      <c r="I34" s="1458"/>
    </row>
    <row r="35" spans="1:15" ht="15" thickBot="1">
      <c r="A35" s="2172"/>
      <c r="B35" s="2173" t="s">
        <v>828</v>
      </c>
      <c r="C35" s="2174">
        <f ca="1">IF(C33="自定义",F35,ROUND(C32*D35,0))</f>
        <v>7192</v>
      </c>
      <c r="D35" s="2175">
        <f ca="1">IF(C33="自定义",ROUND(C35/C32,3),IF(C33="收益比率",SUMIF(INDIRECT("'"&amp;D33&amp;"'"&amp;"!b:b"),"建筑物收益比率",INDIRECT("'"&amp;D33&amp;"'"&amp;"!c:c")),SUMIF(INDIRECT("'"&amp;D33&amp;"'"&amp;"!b:b"),"建筑物成本比率",INDIRECT("'"&amp;D33&amp;"'"&amp;"!c:c"))))</f>
        <v>0.23599999999999999</v>
      </c>
      <c r="E35" s="2176" t="s">
        <v>829</v>
      </c>
      <c r="F35" s="2177"/>
      <c r="G35" s="1458"/>
      <c r="H35" s="1458"/>
      <c r="I35" s="1458"/>
    </row>
    <row r="36" spans="1:15" ht="15" thickBot="1">
      <c r="A36" s="3364" t="s">
        <v>830</v>
      </c>
      <c r="B36" s="2178" t="s">
        <v>831</v>
      </c>
      <c r="C36" s="2179"/>
      <c r="D36" s="2180"/>
      <c r="E36" s="2181"/>
      <c r="F36" s="2182"/>
      <c r="G36" s="1458"/>
      <c r="H36" s="1458"/>
      <c r="I36" s="1458"/>
    </row>
    <row r="37" spans="1:15" ht="15" thickBot="1">
      <c r="A37" s="3365"/>
      <c r="B37" s="2183" t="s">
        <v>832</v>
      </c>
      <c r="C37" s="2184"/>
      <c r="D37" s="2185"/>
      <c r="E37" s="2185"/>
      <c r="F37" s="2182"/>
      <c r="G37" s="1458"/>
      <c r="H37" s="1458"/>
      <c r="I37" s="1458"/>
    </row>
    <row r="38" spans="1:15" ht="15" thickBot="1">
      <c r="A38" s="3366"/>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291" t="s">
        <v>841</v>
      </c>
      <c r="B45" s="3292"/>
      <c r="C45" s="3293"/>
      <c r="D45" s="2204">
        <f ca="1">ROUND(H101*F45,4)</f>
        <v>1143</v>
      </c>
      <c r="E45" s="2205" t="s">
        <v>842</v>
      </c>
      <c r="F45" s="2206">
        <v>1</v>
      </c>
      <c r="G45" s="1865" t="s">
        <v>843</v>
      </c>
      <c r="H45" s="1458"/>
      <c r="I45" s="1458"/>
      <c r="J45" s="3294" t="s">
        <v>844</v>
      </c>
      <c r="K45" s="3294"/>
      <c r="L45" s="3294"/>
      <c r="M45" s="3294"/>
      <c r="N45" s="3294"/>
      <c r="O45" s="3294"/>
    </row>
    <row r="46" spans="1:15" ht="14.25" customHeight="1">
      <c r="A46" s="3295" t="s">
        <v>845</v>
      </c>
      <c r="B46" s="3296"/>
      <c r="C46" s="3296"/>
      <c r="D46" s="3296"/>
      <c r="E46" s="3296"/>
      <c r="F46" s="3296"/>
      <c r="G46" s="3297"/>
      <c r="H46" s="2207"/>
      <c r="I46" s="1459"/>
      <c r="J46" s="576">
        <v>1</v>
      </c>
      <c r="K46" s="3298" t="s">
        <v>846</v>
      </c>
      <c r="L46" s="3298"/>
      <c r="M46" s="3299"/>
      <c r="N46" s="3299"/>
      <c r="O46" s="3299"/>
    </row>
    <row r="47" spans="1:15" ht="12" customHeight="1">
      <c r="A47" s="2208" t="s">
        <v>847</v>
      </c>
      <c r="B47" s="2209"/>
      <c r="C47" s="2210"/>
      <c r="D47" s="1904" t="s">
        <v>848</v>
      </c>
      <c r="E47" s="1855" t="s">
        <v>849</v>
      </c>
      <c r="F47" s="2211" t="s">
        <v>850</v>
      </c>
      <c r="G47" s="2212" t="s">
        <v>851</v>
      </c>
      <c r="H47" s="2213"/>
      <c r="I47" s="1459"/>
      <c r="J47" s="576">
        <v>2</v>
      </c>
      <c r="K47" s="3298" t="s">
        <v>852</v>
      </c>
      <c r="L47" s="3298"/>
      <c r="M47" s="3304">
        <f>'数据-取费表'!B2</f>
        <v>45839</v>
      </c>
      <c r="N47" s="3304"/>
      <c r="O47" s="3304"/>
    </row>
    <row r="48" spans="1:15" ht="39.6">
      <c r="A48" s="3305" t="s">
        <v>853</v>
      </c>
      <c r="B48" s="3306"/>
      <c r="C48" s="3306"/>
      <c r="D48" s="2005">
        <f ca="1">IF(H48="情况1",0,IF(H48="情况2",D52,IF(H48="情况3",D53,IF(H48="情况4",D54))))</f>
        <v>59.871400000000001</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298" t="s">
        <v>856</v>
      </c>
      <c r="L48" s="3298"/>
      <c r="M48" s="3307">
        <f ca="1">H101</f>
        <v>1143</v>
      </c>
      <c r="N48" s="3307"/>
      <c r="O48" s="3307"/>
    </row>
    <row r="49" spans="1:35" ht="25.5" customHeight="1">
      <c r="A49" s="2214" t="s">
        <v>857</v>
      </c>
      <c r="B49" s="3308" t="s">
        <v>858</v>
      </c>
      <c r="C49" s="3308"/>
      <c r="D49" s="2218">
        <v>0</v>
      </c>
      <c r="E49" s="1914" t="s">
        <v>859</v>
      </c>
      <c r="F49" s="2219" t="s">
        <v>124</v>
      </c>
      <c r="G49" s="3314"/>
      <c r="H49" s="2220" t="s">
        <v>860</v>
      </c>
      <c r="I49" s="2255"/>
      <c r="J49" s="576">
        <v>4</v>
      </c>
      <c r="K49" s="3298" t="str">
        <f>IF(项目基本情况!E8="房地产抵押价值","房地产抵押价值","抵押担保权已注销时的房地产抵押价值")</f>
        <v>房地产抵押价值</v>
      </c>
      <c r="L49" s="3298"/>
      <c r="M49" s="3307">
        <f ca="1">IF(项目基本情况!E8="房地产抵押价值",H107,H109)</f>
        <v>1143</v>
      </c>
      <c r="N49" s="3307"/>
      <c r="O49" s="3307"/>
    </row>
    <row r="50" spans="1:35" ht="25.5" customHeight="1">
      <c r="A50" s="2221"/>
      <c r="B50" s="3308" t="s">
        <v>861</v>
      </c>
      <c r="C50" s="3308"/>
      <c r="D50" s="2222"/>
      <c r="E50" s="1929"/>
      <c r="F50" s="2219"/>
      <c r="G50" s="3315"/>
      <c r="H50" s="2223" t="s">
        <v>862</v>
      </c>
      <c r="I50" s="2255"/>
      <c r="J50" s="3294" t="s">
        <v>863</v>
      </c>
      <c r="K50" s="3294"/>
      <c r="L50" s="3294"/>
      <c r="M50" s="3294"/>
      <c r="N50" s="3294"/>
      <c r="O50" s="3294"/>
    </row>
    <row r="51" spans="1:35" ht="20.399999999999999" customHeight="1">
      <c r="A51" s="2224"/>
      <c r="B51" s="3308" t="s">
        <v>864</v>
      </c>
      <c r="C51" s="3308"/>
      <c r="D51" s="1904"/>
      <c r="E51" s="1918"/>
      <c r="F51" s="2219"/>
      <c r="G51" s="3316"/>
      <c r="H51" s="2223" t="s">
        <v>865</v>
      </c>
      <c r="I51" s="2255"/>
      <c r="J51" s="2254" t="s">
        <v>866</v>
      </c>
      <c r="K51" s="3298" t="s">
        <v>867</v>
      </c>
      <c r="L51" s="3298"/>
      <c r="M51" s="2254" t="s">
        <v>868</v>
      </c>
      <c r="N51" s="2254" t="s">
        <v>869</v>
      </c>
      <c r="O51" s="2254" t="s">
        <v>870</v>
      </c>
    </row>
    <row r="52" spans="1:35" ht="24" customHeight="1">
      <c r="A52" s="2225" t="s">
        <v>871</v>
      </c>
      <c r="B52" s="3308" t="s">
        <v>872</v>
      </c>
      <c r="C52" s="3308"/>
      <c r="D52" s="1904">
        <f ca="1">ROUND(D45*'数据-取费表'!B41/(1+'数据-取费表'!C42),0)</f>
        <v>60</v>
      </c>
      <c r="E52" s="1908" t="s">
        <v>873</v>
      </c>
      <c r="F52" s="2226">
        <f>'数据-取费表'!B41</f>
        <v>5.5000000000000007E-2</v>
      </c>
      <c r="G52" s="2227"/>
      <c r="H52" s="2019"/>
      <c r="I52" s="2256"/>
      <c r="J52" s="576">
        <v>1</v>
      </c>
      <c r="K52" s="3310" t="s">
        <v>874</v>
      </c>
      <c r="L52" s="3310"/>
      <c r="M52" s="2257">
        <f ca="1">D48</f>
        <v>59.871400000000001</v>
      </c>
      <c r="N52" s="576" t="str">
        <f>E48</f>
        <v>(销售额-原购置价)×税（费）率</v>
      </c>
      <c r="O52" s="2258">
        <f>F48</f>
        <v>5.5000000000000007E-2</v>
      </c>
    </row>
    <row r="53" spans="1:35" ht="12" customHeight="1">
      <c r="A53" s="2225" t="s">
        <v>875</v>
      </c>
      <c r="B53" s="3311" t="s">
        <v>876</v>
      </c>
      <c r="C53" s="3312"/>
      <c r="D53" s="1904">
        <f ca="1">ROUND(D45*'数据-取费表'!B41/(1+'数据-取费表'!C42),0)</f>
        <v>60</v>
      </c>
      <c r="E53" s="1908" t="s">
        <v>873</v>
      </c>
      <c r="F53" s="2226">
        <f>'数据-取费表'!B41</f>
        <v>5.5000000000000007E-2</v>
      </c>
      <c r="G53" s="2227"/>
      <c r="H53" s="2019"/>
      <c r="I53" s="2256"/>
      <c r="J53" s="576">
        <v>2</v>
      </c>
      <c r="K53" s="3310" t="s">
        <v>877</v>
      </c>
      <c r="L53" s="3310"/>
      <c r="M53" s="2257">
        <f t="shared" ref="M53:O54" ca="1" si="0">D55</f>
        <v>0.57150000000000001</v>
      </c>
      <c r="N53" s="576" t="str">
        <f t="shared" si="0"/>
        <v>销售额×税（费）率</v>
      </c>
      <c r="O53" s="2258">
        <f t="shared" si="0"/>
        <v>5.0000000000000001E-4</v>
      </c>
    </row>
    <row r="54" spans="1:35" ht="12" customHeight="1">
      <c r="A54" s="2225" t="s">
        <v>878</v>
      </c>
      <c r="B54" s="3311" t="s">
        <v>879</v>
      </c>
      <c r="C54" s="3312"/>
      <c r="D54" s="1904">
        <f ca="1">C68</f>
        <v>59.871400000000001</v>
      </c>
      <c r="E54" s="1918" t="s">
        <v>880</v>
      </c>
      <c r="F54" s="2226">
        <f>'数据-取费表'!B41</f>
        <v>5.5000000000000007E-2</v>
      </c>
      <c r="G54" s="2227"/>
      <c r="H54" s="2228"/>
      <c r="I54" s="2256"/>
      <c r="J54" s="576">
        <v>3</v>
      </c>
      <c r="K54" s="3310" t="s">
        <v>881</v>
      </c>
      <c r="L54" s="3310"/>
      <c r="M54" s="2257">
        <f t="shared" ca="1" si="0"/>
        <v>647.97209999999995</v>
      </c>
      <c r="N54" s="576" t="str">
        <f t="shared" si="0"/>
        <v>增值额×税（费）率</v>
      </c>
      <c r="O54" s="2259" t="str">
        <f t="shared" si="0"/>
        <v>——</v>
      </c>
    </row>
    <row r="55" spans="1:35" ht="24" customHeight="1">
      <c r="A55" s="3313" t="s">
        <v>882</v>
      </c>
      <c r="B55" s="3306"/>
      <c r="C55" s="3306"/>
      <c r="D55" s="2229">
        <f ca="1">IF(H55="个人住宅",0,ROUND(D45*I55,4))</f>
        <v>0.57150000000000001</v>
      </c>
      <c r="E55" s="1908" t="s">
        <v>883</v>
      </c>
      <c r="F55" s="2226">
        <f>IF(H55="正常",I55,"免征")</f>
        <v>5.0000000000000001E-4</v>
      </c>
      <c r="G55" s="2227"/>
      <c r="H55" s="2217" t="s">
        <v>884</v>
      </c>
      <c r="I55" s="2260">
        <f>'数据-取费表'!B49</f>
        <v>5.0000000000000001E-4</v>
      </c>
      <c r="J55" s="576">
        <f>IF(H59="非个人房产","",4)</f>
        <v>4</v>
      </c>
      <c r="K55" s="3310" t="str">
        <f>IF(H59="非个人房产","——","个人所得税")</f>
        <v>个人所得税</v>
      </c>
      <c r="L55" s="3310"/>
      <c r="M55" s="2261">
        <f ca="1">D59</f>
        <v>11.43</v>
      </c>
      <c r="N55" s="557" t="str">
        <f>E59</f>
        <v>销售额×税（费）率</v>
      </c>
      <c r="O55" s="2262">
        <f>F59</f>
        <v>0.01</v>
      </c>
    </row>
    <row r="56" spans="1:35" ht="25.2">
      <c r="A56" s="3313" t="s">
        <v>885</v>
      </c>
      <c r="B56" s="3306"/>
      <c r="C56" s="3306"/>
      <c r="D56" s="2005">
        <f ca="1">IF(H56="个人住宅",D57,D58)</f>
        <v>647.97209999999995</v>
      </c>
      <c r="E56" s="1908" t="s">
        <v>886</v>
      </c>
      <c r="F56" s="2226" t="str">
        <f>IF(H56="正常",F58,"免征")</f>
        <v>——</v>
      </c>
      <c r="G56" s="2230" t="s">
        <v>887</v>
      </c>
      <c r="H56" s="2231" t="s">
        <v>884</v>
      </c>
      <c r="I56" s="2239"/>
      <c r="J56" s="576" t="str">
        <f>IF(项目基本情况!K6="上海银行",IF(J55="",4,J55+1),"")</f>
        <v/>
      </c>
      <c r="K56" s="3317" t="str">
        <f>IF(项目基本情况!K6="上海银行","其他处置费用","")</f>
        <v/>
      </c>
      <c r="L56" s="3318"/>
      <c r="M56" s="2257" t="str">
        <f>IF(项目基本情况!K6="上海银行",M69,"")</f>
        <v/>
      </c>
      <c r="N56" s="3317" t="str">
        <f>IF(项目基本情况!K6="上海银行","包含处置中涉及的律师、诉讼、拍卖、评估等费用","")</f>
        <v/>
      </c>
      <c r="O56" s="3319"/>
    </row>
    <row r="57" spans="1:35" ht="13.2">
      <c r="A57" s="2225" t="s">
        <v>857</v>
      </c>
      <c r="B57" s="3311" t="s">
        <v>888</v>
      </c>
      <c r="C57" s="3312"/>
      <c r="D57" s="2218">
        <v>0</v>
      </c>
      <c r="E57" s="1914" t="s">
        <v>859</v>
      </c>
      <c r="F57" s="1855"/>
      <c r="G57" s="2227"/>
      <c r="H57" s="2232"/>
      <c r="I57" s="2239"/>
      <c r="J57" s="3310">
        <f>IF(AND(J55="",J56=""),4,IF(项目基本情况!K6="上海银行",结果表111!J56+1,结果表111!J55+1))</f>
        <v>5</v>
      </c>
      <c r="K57" s="3310" t="s">
        <v>889</v>
      </c>
      <c r="L57" s="2264" t="s">
        <v>890</v>
      </c>
      <c r="M57" s="2265"/>
      <c r="N57" s="2266">
        <f ca="1">SUMIF(M52:M56,"&lt;9e307")</f>
        <v>719.84499999999991</v>
      </c>
      <c r="O57" s="2267"/>
      <c r="P57" s="2268">
        <f ca="1">N57/M49</f>
        <v>0.62978565179352575</v>
      </c>
    </row>
    <row r="58" spans="1:35" ht="25.2">
      <c r="A58" s="2225" t="s">
        <v>871</v>
      </c>
      <c r="B58" s="3311" t="s">
        <v>891</v>
      </c>
      <c r="C58" s="3308"/>
      <c r="D58" s="2005">
        <f ca="1">IF(H58="转让取得",C81,C97)</f>
        <v>647.97209999999995</v>
      </c>
      <c r="E58" s="1908" t="s">
        <v>886</v>
      </c>
      <c r="F58" s="1855" t="s">
        <v>124</v>
      </c>
      <c r="G58" s="2227"/>
      <c r="H58" s="2231" t="s">
        <v>892</v>
      </c>
      <c r="I58" s="2239"/>
      <c r="J58" s="3310"/>
      <c r="K58" s="3310"/>
      <c r="L58" s="2264" t="s">
        <v>893</v>
      </c>
      <c r="M58" s="2269"/>
      <c r="N58" s="2270" t="str">
        <f ca="1">NUMBERSTRING(INT(N57*10000),2)&amp;"元整"</f>
        <v>柒佰壹拾玖万捌仟肆佰伍拾元整</v>
      </c>
      <c r="O58" s="2271"/>
    </row>
    <row r="59" spans="1:35" ht="27" thickBot="1">
      <c r="A59" s="3320" t="s">
        <v>894</v>
      </c>
      <c r="B59" s="3321"/>
      <c r="C59" s="3321"/>
      <c r="D59" s="3177">
        <f ca="1">IF(H59="非个人房产","——",IF(H59="个人住宅（满五唯一有凭证）",0,IF(H59="个人其他（无凭证）",ROUND(D45*F59,4),ROUND(C67*F59,4))))</f>
        <v>11.43</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25">
        <f>J57+1</f>
        <v>6</v>
      </c>
      <c r="K59" s="3310" t="s">
        <v>896</v>
      </c>
      <c r="L59" s="576" t="s">
        <v>890</v>
      </c>
      <c r="M59" s="2273"/>
      <c r="N59" s="2274">
        <f ca="1">M49-N57</f>
        <v>423.15500000000009</v>
      </c>
      <c r="O59" s="2275"/>
    </row>
    <row r="60" spans="1:35" ht="12" customHeight="1">
      <c r="A60" s="2237"/>
      <c r="B60" s="1998"/>
      <c r="C60" s="1998"/>
      <c r="D60" s="1998"/>
      <c r="E60" s="2238"/>
      <c r="F60" s="2239"/>
      <c r="G60" s="2239"/>
      <c r="H60" s="1459"/>
      <c r="I60" s="1458"/>
      <c r="J60" s="3326"/>
      <c r="K60" s="3310"/>
      <c r="L60" s="2264" t="s">
        <v>893</v>
      </c>
      <c r="M60" s="2269"/>
      <c r="N60" s="2270" t="str">
        <f ca="1">NUMBERSTRING(INT(N59*10000),2)&amp;"元整"</f>
        <v>肆佰贰拾叁万壹仟伍佰伍拾元整</v>
      </c>
      <c r="O60" s="2271"/>
    </row>
    <row r="61" spans="1:35" ht="13.8" thickBot="1">
      <c r="A61" s="3322" t="s">
        <v>897</v>
      </c>
      <c r="B61" s="3322"/>
      <c r="C61" s="3322"/>
      <c r="D61" s="3322"/>
      <c r="E61" s="3322"/>
      <c r="F61" s="2239"/>
      <c r="G61" s="2239"/>
      <c r="H61" s="1459"/>
      <c r="I61" s="1458"/>
      <c r="J61" s="576">
        <f>J59+1</f>
        <v>7</v>
      </c>
      <c r="K61" s="3310" t="s">
        <v>898</v>
      </c>
      <c r="L61" s="3310"/>
      <c r="M61" s="2276"/>
      <c r="N61" s="2488">
        <f ca="1">ROUND(N59*10000/'数据-汇总表'!E3,0)</f>
        <v>4778</v>
      </c>
      <c r="O61" s="2277"/>
    </row>
    <row r="62" spans="1:35" ht="13.2">
      <c r="A62" s="3323" t="s">
        <v>899</v>
      </c>
      <c r="B62" s="3324"/>
      <c r="C62" s="528"/>
      <c r="D62" s="528" t="s">
        <v>900</v>
      </c>
      <c r="E62" s="2240" t="s">
        <v>851</v>
      </c>
      <c r="F62" s="2239"/>
      <c r="G62" s="2239"/>
      <c r="H62" s="1459"/>
      <c r="I62" s="1458"/>
    </row>
    <row r="63" spans="1:35" ht="13.2">
      <c r="A63" s="2241" t="s">
        <v>901</v>
      </c>
      <c r="B63" s="586" t="s">
        <v>902</v>
      </c>
      <c r="C63" s="2242">
        <f ca="1">ROUND((C64+C65)/(1+'数据-取费表'!C42),4)</f>
        <v>1088.5714</v>
      </c>
      <c r="D63" s="586"/>
      <c r="E63" s="2243"/>
      <c r="F63" s="2239"/>
      <c r="G63" s="2239"/>
      <c r="H63" s="1459"/>
      <c r="I63" s="1458"/>
      <c r="J63" s="3309" t="s">
        <v>903</v>
      </c>
      <c r="K63" s="2278" t="s">
        <v>904</v>
      </c>
      <c r="L63" s="2278">
        <f ca="1">IF(M49&gt;10000,M49*0.5%,IF(AND(M49&gt;1000,M49&lt;=10000),M49*1%,IF(AND(M49&gt;100,M49&lt;=1000),M49*3%,IF(AND(M49&gt;10,M49&lt;=100),M49*5%,M49*8%))))</f>
        <v>11.43</v>
      </c>
      <c r="M63" s="1855">
        <f ca="1">ROUND(L63,1)</f>
        <v>11.4</v>
      </c>
      <c r="N63" s="2279"/>
      <c r="Z63" s="2113"/>
      <c r="AI63" s="2114"/>
    </row>
    <row r="64" spans="1:35" ht="14.25" customHeight="1">
      <c r="A64" s="2244" t="s">
        <v>905</v>
      </c>
      <c r="B64" s="509" t="s">
        <v>906</v>
      </c>
      <c r="C64" s="2245">
        <f ca="1">D45</f>
        <v>1143</v>
      </c>
      <c r="D64" s="509" t="s">
        <v>124</v>
      </c>
      <c r="E64" s="2246"/>
      <c r="F64" s="2239"/>
      <c r="G64" s="2239"/>
      <c r="H64" s="1459"/>
      <c r="I64" s="1458"/>
      <c r="J64" s="3309"/>
      <c r="K64" s="2278" t="s">
        <v>907</v>
      </c>
      <c r="L64" s="2278">
        <f ca="1">IF(M49&gt;2000,M49*0.5%,IF(AND(M49&gt;1000,M49&lt;=2000),M49*0.6%,IF(AND(M49&gt;500,M49&lt;=1000),M49*0.7%,IF(AND(M49&gt;200,M49&lt;=500),M49*0.8%,IF(AND(M49&gt;100,M49&lt;=200),M49*0.9%,IF(AND(M49&gt;50,M49&lt;=100),M49*1%,IF(AND(M49&gt;20,M49&lt;=50),M49*1.5%,IF(AND(M49&gt;10,M49&lt;=20),M49*2%,IF(AND(M49&gt;1,M49&lt;=10),M49*2.5%)))))))))</f>
        <v>6.8580000000000005</v>
      </c>
      <c r="M64" s="1855">
        <f t="shared" ref="M64:M65" ca="1" si="1">ROUND(L64,1)</f>
        <v>6.9</v>
      </c>
      <c r="N64" s="2019" t="s">
        <v>908</v>
      </c>
      <c r="Z64" s="2113"/>
      <c r="AI64" s="2114"/>
    </row>
    <row r="65" spans="1:35" ht="14.25" customHeight="1">
      <c r="A65" s="2244" t="s">
        <v>909</v>
      </c>
      <c r="B65" s="509" t="s">
        <v>910</v>
      </c>
      <c r="C65" s="2281"/>
      <c r="D65" s="509"/>
      <c r="E65" s="2246"/>
      <c r="F65" s="2239"/>
      <c r="G65" s="2239"/>
      <c r="H65" s="1459"/>
      <c r="I65" s="1458"/>
      <c r="J65" s="3309"/>
      <c r="K65" s="2278" t="s">
        <v>911</v>
      </c>
      <c r="L65" s="2278">
        <f ca="1">IF(M49&gt;1000,M49*0.1%,IF(AND(M49&gt;500,M49&lt;=1000),M49*0.5%,IF(AND(M49&gt;50,M49&lt;=500),M49*1%,IF(AND(M49&gt;1,M49&lt;=50),M49*1.5%))))</f>
        <v>1.143</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09"/>
      <c r="K66" s="2278" t="s">
        <v>915</v>
      </c>
      <c r="L66" s="2278">
        <f ca="1">M49*0.5%</f>
        <v>5.7149999999999999</v>
      </c>
      <c r="M66" s="1855">
        <f ca="1">IF(L66&gt;0.5,0.5,ROUND(L66,0))</f>
        <v>0.5</v>
      </c>
      <c r="N66" s="2019" t="s">
        <v>916</v>
      </c>
      <c r="Z66" s="2113"/>
      <c r="AI66" s="2114"/>
    </row>
    <row r="67" spans="1:35" ht="14.25" customHeight="1">
      <c r="A67" s="2241" t="s">
        <v>917</v>
      </c>
      <c r="B67" s="2282" t="s">
        <v>918</v>
      </c>
      <c r="C67" s="2285">
        <f ca="1">C63-C66</f>
        <v>1088.5714</v>
      </c>
      <c r="D67" s="509" t="s">
        <v>124</v>
      </c>
      <c r="E67" s="2246"/>
      <c r="F67" s="2239"/>
      <c r="G67" s="2239"/>
      <c r="H67" s="1459"/>
      <c r="I67" s="1458"/>
      <c r="J67" s="3309"/>
      <c r="K67" s="2278" t="s">
        <v>919</v>
      </c>
      <c r="L67" s="2278">
        <f ca="1">IF(M49&gt;=10000,(8.25+(M49-10000)*0.01%),IF(AND(M49&gt;=8000,M49&lt;10000),(7.85+(M49-8000)*0.02%),IF(AND(M49&gt;=5000,M49&lt;8000),(6.65+(M49-5000)*0.04%),IF(AND(M49&gt;=2000,M49&lt;5000),(4.25+(PM49-2000)*0.08%),IF(AND(M49&gt;=1000,M49&lt;2000),(2.75+(M49-1000)*0.15%),IF(AND(M49&gt;=100,M49&lt;1000),(0.5+(M49-100)*0.25%),IF(AND(M49&gt;0,M49&lt;100),M49*0.5%)))))))</f>
        <v>2.9645000000000001</v>
      </c>
      <c r="M67" s="1855">
        <f ca="1">ROUND(L67*0.9,1)</f>
        <v>2.7</v>
      </c>
      <c r="N67" s="2279"/>
      <c r="Z67" s="2113"/>
      <c r="AI67" s="2114"/>
    </row>
    <row r="68" spans="1:35" ht="14.25" customHeight="1" thickBot="1">
      <c r="A68" s="2286" t="s">
        <v>920</v>
      </c>
      <c r="B68" s="2287" t="s">
        <v>921</v>
      </c>
      <c r="C68" s="2288">
        <f ca="1">IF(C67&lt;=0,0,ROUND(C67*D68,4))</f>
        <v>59.871400000000001</v>
      </c>
      <c r="D68" s="771">
        <f>'数据-取费表'!B41</f>
        <v>5.5000000000000007E-2</v>
      </c>
      <c r="E68" s="2289"/>
      <c r="F68" s="2239"/>
      <c r="G68" s="2239"/>
      <c r="H68" s="1459"/>
      <c r="I68" s="1458"/>
      <c r="J68" s="3309"/>
      <c r="K68" s="2278" t="s">
        <v>922</v>
      </c>
      <c r="L68" s="2278">
        <f ca="1">IF(M49&gt;10000,M49*0.5%,IF(AND(M49&gt;5000,M49&lt;=10000),M49*1%,IF(AND(M49&gt;1000,M49&lt;=5000),M49*2%,IF(AND(M49&gt;200,M49&lt;=1000),M49*3%,M49*5%))))</f>
        <v>22.86</v>
      </c>
      <c r="M68" s="1855">
        <f ca="1">ROUND(L68,1)</f>
        <v>22.9</v>
      </c>
      <c r="N68" s="2279"/>
      <c r="Z68" s="2113"/>
      <c r="AI68" s="2114"/>
    </row>
    <row r="69" spans="1:35" ht="16.5" customHeight="1">
      <c r="A69" s="2290"/>
      <c r="B69" s="2291"/>
      <c r="C69" s="2292"/>
      <c r="D69" s="693"/>
      <c r="E69" s="2293"/>
      <c r="F69" s="2238"/>
      <c r="G69" s="2238"/>
      <c r="H69" s="2198"/>
      <c r="I69" s="1998"/>
      <c r="J69" s="3309"/>
      <c r="K69" s="2278" t="s">
        <v>923</v>
      </c>
      <c r="L69" s="2278"/>
      <c r="M69" s="1855">
        <f ca="1">ROUND(SUM(M63:M68),0)</f>
        <v>46</v>
      </c>
      <c r="N69" s="2358">
        <f ca="1">M69/M49</f>
        <v>4.0244969378827648E-2</v>
      </c>
      <c r="Z69" s="2113"/>
      <c r="AI69" s="2114"/>
    </row>
    <row r="70" spans="1:35" s="886" customFormat="1" ht="14.4" thickBot="1">
      <c r="A70" s="3347" t="s">
        <v>924</v>
      </c>
      <c r="B70" s="3348"/>
      <c r="C70" s="3348"/>
      <c r="D70" s="3348"/>
      <c r="E70" s="3348"/>
      <c r="F70" s="3348"/>
      <c r="G70" s="3348"/>
      <c r="H70" s="3348"/>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3" t="s">
        <v>899</v>
      </c>
      <c r="B71" s="3324"/>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1088.5714</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5.4428999999999998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1" t="s">
        <v>935</v>
      </c>
      <c r="F76" s="3308"/>
      <c r="G76" s="3308"/>
      <c r="H76" s="3349"/>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5.4428999999999998</v>
      </c>
      <c r="D78" s="2310">
        <f>'数据-取费表'!B43</f>
        <v>5.000000000000001E-3</v>
      </c>
      <c r="E78" s="3350" t="s">
        <v>941</v>
      </c>
      <c r="F78" s="3351"/>
      <c r="G78" s="3351"/>
      <c r="H78" s="3352"/>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1083.1285</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198.99841995994782</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647.97209999999995</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47" t="s">
        <v>946</v>
      </c>
      <c r="B83" s="3348"/>
      <c r="C83" s="3348"/>
      <c r="D83" s="3348"/>
      <c r="E83" s="3348"/>
      <c r="F83" s="3348"/>
      <c r="G83" s="3348"/>
      <c r="H83" s="3348"/>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3" t="s">
        <v>899</v>
      </c>
      <c r="B84" s="3324"/>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1089</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59" t="s">
        <v>954</v>
      </c>
      <c r="H90" s="3360"/>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0" t="s">
        <v>958</v>
      </c>
      <c r="F91" s="3351"/>
      <c r="G91" s="3351"/>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0" t="s">
        <v>961</v>
      </c>
      <c r="F92" s="3351"/>
      <c r="G92" s="3351"/>
      <c r="H92" s="3352"/>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50" t="s">
        <v>941</v>
      </c>
      <c r="F93" s="3351"/>
      <c r="G93" s="3351"/>
      <c r="H93" s="3352"/>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2" t="s">
        <v>966</v>
      </c>
      <c r="F94" s="3373"/>
      <c r="G94" s="3373"/>
      <c r="H94" s="3374"/>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1084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216.8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649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3" t="s">
        <v>968</v>
      </c>
      <c r="B100" s="3274"/>
      <c r="C100" s="3274"/>
      <c r="D100" s="3335"/>
      <c r="E100" s="3274" t="s">
        <v>969</v>
      </c>
      <c r="F100" s="3274"/>
      <c r="G100" s="3274"/>
      <c r="H100" s="3335"/>
      <c r="I100" s="1458"/>
    </row>
    <row r="101" spans="1:35" ht="18.75" customHeight="1">
      <c r="A101" s="3336" t="s">
        <v>970</v>
      </c>
      <c r="B101" s="3337"/>
      <c r="C101" s="2334" t="str">
        <f>C4</f>
        <v>比较法-商业2</v>
      </c>
      <c r="D101" s="2335" t="str">
        <f>D4</f>
        <v>收益法2</v>
      </c>
      <c r="E101" s="3358" t="s">
        <v>971</v>
      </c>
      <c r="F101" s="3354"/>
      <c r="G101" s="2337" t="s">
        <v>972</v>
      </c>
      <c r="H101" s="2338">
        <f ca="1">H118</f>
        <v>1143</v>
      </c>
      <c r="I101" s="1458"/>
    </row>
    <row r="102" spans="1:35" ht="18.75" customHeight="1">
      <c r="A102" s="3367" t="s">
        <v>973</v>
      </c>
      <c r="B102" s="2339" t="s">
        <v>972</v>
      </c>
      <c r="C102" s="2334">
        <f ca="1">IF(D32="楼面单价",ROUND(C19,0),C19)</f>
        <v>1209</v>
      </c>
      <c r="D102" s="2335">
        <f ca="1">IF(D32="楼面单价",ROUND(D19,0),D19)</f>
        <v>987</v>
      </c>
      <c r="E102" s="3358"/>
      <c r="F102" s="3354"/>
      <c r="G102" s="2337" t="s">
        <v>99</v>
      </c>
      <c r="H102" s="2227">
        <f ca="1">I118</f>
        <v>30476</v>
      </c>
      <c r="I102" s="1458"/>
    </row>
    <row r="103" spans="1:35" ht="42.75" customHeight="1">
      <c r="A103" s="3367"/>
      <c r="B103" s="2339" t="s">
        <v>99</v>
      </c>
      <c r="C103" s="2340">
        <f ca="1">C20</f>
        <v>32256</v>
      </c>
      <c r="D103" s="2341">
        <f ca="1">D20</f>
        <v>26323</v>
      </c>
      <c r="E103" s="3338" t="s">
        <v>974</v>
      </c>
      <c r="F103" s="3339"/>
      <c r="G103" s="2342" t="s">
        <v>102</v>
      </c>
      <c r="H103" s="2338">
        <f>IF(D36="正常操作",H104+H105+H106,H105+H106)</f>
        <v>0</v>
      </c>
      <c r="I103" s="1458"/>
    </row>
    <row r="104" spans="1:35" ht="18.75" customHeight="1">
      <c r="A104" s="3367" t="s">
        <v>975</v>
      </c>
      <c r="B104" s="2343" t="s">
        <v>972</v>
      </c>
      <c r="C104" s="2344">
        <f ca="1">H118</f>
        <v>1143</v>
      </c>
      <c r="D104" s="2345"/>
      <c r="E104" s="2183" t="s">
        <v>976</v>
      </c>
      <c r="F104" s="2346"/>
      <c r="G104" s="2342" t="s">
        <v>102</v>
      </c>
      <c r="H104" s="2347">
        <f>IF(D36="同一抵押权人同一抵押物续贷",C36&amp;"（续贷，未扣减，详见特别提示）",C36)</f>
        <v>0</v>
      </c>
      <c r="I104" s="1458"/>
    </row>
    <row r="105" spans="1:35" ht="18.75" customHeight="1" thickBot="1">
      <c r="A105" s="3368"/>
      <c r="B105" s="2348" t="s">
        <v>99</v>
      </c>
      <c r="C105" s="2349">
        <f ca="1">I118</f>
        <v>30476</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53" t="str">
        <f>IF(项目基本情况!E8="已注销","——","3.房地产抵押价值")</f>
        <v>3.房地产抵押价值</v>
      </c>
      <c r="F107" s="3354"/>
      <c r="G107" s="2337" t="s">
        <v>972</v>
      </c>
      <c r="H107" s="2338">
        <f ca="1">IF(E107="——","——",H101-H103)</f>
        <v>1143</v>
      </c>
      <c r="I107" s="1458"/>
    </row>
    <row r="108" spans="1:35" ht="18.75" customHeight="1">
      <c r="A108" s="1458"/>
      <c r="B108" s="1458"/>
      <c r="C108" s="1458"/>
      <c r="D108" s="1458"/>
      <c r="E108" s="3353"/>
      <c r="F108" s="3354"/>
      <c r="G108" s="2337" t="s">
        <v>99</v>
      </c>
      <c r="H108" s="2227">
        <f ca="1">IF(H107=H101,H102,ROUND(H107*10000/'数据-汇总表'!E3,0))</f>
        <v>30476</v>
      </c>
      <c r="I108" s="1458"/>
    </row>
    <row r="109" spans="1:35" ht="18.75" customHeight="1">
      <c r="A109" s="1458"/>
      <c r="B109" s="1458"/>
      <c r="C109" s="1458"/>
      <c r="D109" s="1458"/>
      <c r="E109" s="3353" t="str">
        <f>IF(项目基本情况!E8="已注销及未注销","4.抵押担保权已注销时的房地产抵押价值",IF(项目基本情况!E8="已注销","3.抵押担保权已注销时的房地产抵押价值","——"))</f>
        <v>——</v>
      </c>
      <c r="F109" s="3354"/>
      <c r="G109" s="2337" t="s">
        <v>972</v>
      </c>
      <c r="H109" s="2353" t="str">
        <f>IF(E109="——","——",H101-H105-H106)</f>
        <v>——</v>
      </c>
      <c r="I109" s="1458"/>
    </row>
    <row r="110" spans="1:35" ht="18.75" customHeight="1">
      <c r="A110" s="1458"/>
      <c r="B110" s="1458"/>
      <c r="C110" s="1458"/>
      <c r="D110" s="1458"/>
      <c r="E110" s="3353"/>
      <c r="F110" s="3354"/>
      <c r="G110" s="2337" t="s">
        <v>99</v>
      </c>
      <c r="H110" s="2227" t="str">
        <f>IF(H109="——","——",ROUND(H109*10000/'数据-汇总表'!E3,0))</f>
        <v>——</v>
      </c>
      <c r="I110" s="1458"/>
    </row>
    <row r="111" spans="1:35" ht="18.75" customHeight="1">
      <c r="A111" s="1458"/>
      <c r="B111" s="1458"/>
      <c r="C111" s="1458"/>
      <c r="D111" s="1458"/>
      <c r="E111" s="3355" t="str">
        <f>IF(项目基本情况!E9="抵押净值",IF(OR(项目基本情况!E8="已注销",项目基本情况!E8="房地产抵押价值"),"4.抵押净值","5.抵押净值"),"——")</f>
        <v>——</v>
      </c>
      <c r="F111" s="3327"/>
      <c r="G111" s="2337" t="s">
        <v>972</v>
      </c>
      <c r="H111" s="2338" t="str">
        <f>IF(E111="——","——",N59)</f>
        <v>——</v>
      </c>
      <c r="I111" s="1458"/>
    </row>
    <row r="112" spans="1:35" ht="18.75" customHeight="1" thickBot="1">
      <c r="A112" s="1458"/>
      <c r="B112" s="1458"/>
      <c r="C112" s="1458"/>
      <c r="D112" s="1458"/>
      <c r="E112" s="3356"/>
      <c r="F112" s="3357"/>
      <c r="G112" s="2354" t="s">
        <v>99</v>
      </c>
      <c r="H112" s="2355" t="str">
        <f>IF(E111="——","——",N61)</f>
        <v>——</v>
      </c>
      <c r="I112" s="1458"/>
    </row>
    <row r="113" spans="1:27" ht="18.75" customHeight="1">
      <c r="A113" s="1458"/>
      <c r="B113" s="1458"/>
      <c r="C113" s="1458"/>
      <c r="D113" s="1458"/>
      <c r="E113" s="3340" t="s">
        <v>978</v>
      </c>
      <c r="F113" s="3340"/>
      <c r="G113" s="3340"/>
      <c r="H113" s="3340"/>
      <c r="I113" s="1458"/>
    </row>
    <row r="114" spans="1:27" ht="3.75" customHeight="1">
      <c r="A114" s="1998"/>
      <c r="B114" s="1998"/>
      <c r="C114" s="1998"/>
      <c r="D114" s="1998"/>
      <c r="E114" s="2237"/>
      <c r="F114" s="2237"/>
      <c r="G114" s="2237"/>
      <c r="H114" s="2237"/>
      <c r="I114" s="1998"/>
    </row>
    <row r="115" spans="1:27" ht="18.75" customHeight="1">
      <c r="A115" s="3341" t="s">
        <v>980</v>
      </c>
      <c r="B115" s="3342"/>
      <c r="C115" s="3342"/>
      <c r="D115" s="3342"/>
      <c r="E115" s="3342"/>
      <c r="F115" s="3342"/>
      <c r="G115" s="3342"/>
      <c r="H115" s="3342"/>
      <c r="I115" s="3343"/>
    </row>
    <row r="116" spans="1:27" ht="27" customHeight="1">
      <c r="A116" s="3331" t="s">
        <v>981</v>
      </c>
      <c r="B116" s="3370" t="s">
        <v>982</v>
      </c>
      <c r="C116" s="3370" t="s">
        <v>983</v>
      </c>
      <c r="D116" s="3344" t="s">
        <v>984</v>
      </c>
      <c r="E116" s="3345"/>
      <c r="F116" s="3346" t="s">
        <v>985</v>
      </c>
      <c r="G116" s="3346"/>
      <c r="H116" s="3331" t="s">
        <v>986</v>
      </c>
      <c r="I116" s="3331"/>
    </row>
    <row r="117" spans="1:27" ht="18.75" customHeight="1">
      <c r="A117" s="3331"/>
      <c r="B117" s="3371"/>
      <c r="C117" s="3371"/>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374.94</v>
      </c>
      <c r="C118" s="868">
        <f>M19</f>
        <v>0</v>
      </c>
      <c r="D118" s="868">
        <f ca="1">ROUND(IF(D32="总价",C34,E118*B118/10000),0)</f>
        <v>873</v>
      </c>
      <c r="E118" s="868">
        <f ca="1">ROUND(IF(C33="自定义",IF(D32="楼面单价",C34,D118*10000/B118),I118-G118),0)</f>
        <v>23284</v>
      </c>
      <c r="F118" s="868">
        <f ca="1">ROUND(IF(D32="总价",C35,G118*B118/10000),0)</f>
        <v>270</v>
      </c>
      <c r="G118" s="868">
        <f ca="1">ROUND(IF(D32="楼面单价",C35,F118*10000/B118),0)</f>
        <v>7192</v>
      </c>
      <c r="H118" s="2357">
        <f ca="1">ROUND(IF(D32="总价",C32,I118*B118/10000),0)</f>
        <v>1143</v>
      </c>
      <c r="I118" s="868">
        <f ca="1">ROUND(IF(D32="楼面单价",C32,H118*10000/B118),0)</f>
        <v>30476</v>
      </c>
    </row>
    <row r="119" spans="1:27" ht="18.75" customHeight="1">
      <c r="A119" s="3331" t="s">
        <v>988</v>
      </c>
      <c r="B119" s="3331"/>
      <c r="C119" s="3331"/>
      <c r="D119" s="3332" t="str">
        <f ca="1">NUMBERSTRING(INT(D118*10000),2)&amp;"元整"</f>
        <v>捌佰柒拾叁万元整</v>
      </c>
      <c r="E119" s="3334"/>
      <c r="F119" s="3332" t="str">
        <f ca="1">NUMBERSTRING(INT(F118*10000),2)&amp;"元整"</f>
        <v>贰佰柒拾万元整</v>
      </c>
      <c r="G119" s="3334"/>
      <c r="H119" s="3332" t="str">
        <f ca="1">NUMBERSTRING(INT(H118*10000),2)&amp;"元整"</f>
        <v>壹仟壹佰肆拾叁万元整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2" t="s">
        <v>988</v>
      </c>
      <c r="B121" s="3333"/>
      <c r="C121" s="3334"/>
      <c r="D121" s="3332" t="str">
        <f>IF(D120=0,"零元整",NUMBERSTRING(INT(D120*10000),2)&amp;"元整")</f>
        <v>零元整</v>
      </c>
      <c r="E121" s="3333"/>
      <c r="F121" s="3333"/>
      <c r="G121" s="3333"/>
      <c r="H121" s="3333"/>
      <c r="I121" s="3334"/>
      <c r="AA121" s="1417"/>
    </row>
    <row r="122" spans="1:27" ht="18.75" customHeight="1">
      <c r="A122" s="3327" t="str">
        <f>IF(项目基本情况!B9="房地产市场价值","",MID(E107,3,LEN(E107)-2))</f>
        <v>房地产抵押价值</v>
      </c>
      <c r="B122" s="3327"/>
      <c r="C122" s="3327"/>
      <c r="D122" s="3328">
        <f ca="1">H107</f>
        <v>1143</v>
      </c>
      <c r="E122" s="3329"/>
      <c r="F122" s="3329"/>
      <c r="G122" s="3329"/>
      <c r="H122" s="3329"/>
      <c r="I122" s="3330"/>
      <c r="AA122" s="1417"/>
    </row>
    <row r="123" spans="1:27" ht="18.75" customHeight="1">
      <c r="A123" s="3331" t="s">
        <v>988</v>
      </c>
      <c r="B123" s="3331"/>
      <c r="C123" s="3331"/>
      <c r="D123" s="3332" t="str">
        <f ca="1">NUMBERSTRING(INT(D122*10000),2)&amp;"元整"</f>
        <v>壹仟壹佰肆拾叁万元整</v>
      </c>
      <c r="E123" s="3333"/>
      <c r="F123" s="3333"/>
      <c r="G123" s="3333"/>
      <c r="H123" s="3333"/>
      <c r="I123" s="3334"/>
      <c r="AA123" s="1417"/>
    </row>
    <row r="124" spans="1:27" ht="18.75" customHeight="1">
      <c r="A124" s="3327" t="str">
        <f>IF(项目基本情况!B9="房地产市场价值","",MID(E109,3,LEN(E109)-2))</f>
        <v/>
      </c>
      <c r="B124" s="3327"/>
      <c r="C124" s="3327"/>
      <c r="D124" s="3328" t="str">
        <f>H109</f>
        <v>——</v>
      </c>
      <c r="E124" s="3329"/>
      <c r="F124" s="3329"/>
      <c r="G124" s="3329"/>
      <c r="H124" s="3329"/>
      <c r="I124" s="3330"/>
      <c r="AA124" s="1417"/>
    </row>
    <row r="125" spans="1:27" ht="18.75" customHeight="1">
      <c r="A125" s="3331" t="s">
        <v>988</v>
      </c>
      <c r="B125" s="3331"/>
      <c r="C125" s="3331"/>
      <c r="D125" s="3332" t="e">
        <f>NUMBERSTRING(INT(D124*10000),2)&amp;"元整"</f>
        <v>#VALUE!</v>
      </c>
      <c r="E125" s="3333"/>
      <c r="F125" s="3333"/>
      <c r="G125" s="3333"/>
      <c r="H125" s="3333"/>
      <c r="I125" s="3334"/>
      <c r="AA125" s="1417"/>
    </row>
    <row r="126" spans="1:27" ht="18.75" customHeight="1">
      <c r="A126" s="3327" t="str">
        <f>IF(项目基本情况!B9="房地产市场价值","",MID(E111,3,LEN(E111)-2))</f>
        <v/>
      </c>
      <c r="B126" s="3327"/>
      <c r="C126" s="3327"/>
      <c r="D126" s="3328" t="str">
        <f>H111</f>
        <v>——</v>
      </c>
      <c r="E126" s="3329"/>
      <c r="F126" s="3329"/>
      <c r="G126" s="3329"/>
      <c r="H126" s="3329"/>
      <c r="I126" s="3330"/>
      <c r="AA126" s="1417"/>
    </row>
    <row r="127" spans="1:27" ht="18.75" customHeight="1">
      <c r="A127" s="3331" t="s">
        <v>988</v>
      </c>
      <c r="B127" s="3331"/>
      <c r="C127" s="3331"/>
      <c r="D127" s="3332" t="e">
        <f>NUMBERSTRING(INT(D126*10000),2)&amp;"元整"</f>
        <v>#VALUE!</v>
      </c>
      <c r="E127" s="3333"/>
      <c r="F127" s="3333"/>
      <c r="G127" s="3333"/>
      <c r="H127" s="3333"/>
      <c r="I127" s="3334"/>
      <c r="AA127" s="1417"/>
    </row>
    <row r="128" spans="1:27" ht="21.75" customHeight="1">
      <c r="A128" s="3361" t="s">
        <v>113</v>
      </c>
      <c r="B128" s="3361"/>
      <c r="C128" s="3361"/>
      <c r="D128" s="3361"/>
      <c r="E128" s="3361"/>
      <c r="F128" s="3361"/>
      <c r="G128" s="3361"/>
      <c r="H128" s="3361"/>
      <c r="I128" s="3361"/>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3AB0EE51-15DE-4DA1-BE0A-91E931F328BF}">
      <formula1>"个人住宅,正常"</formula1>
    </dataValidation>
    <dataValidation type="list" allowBlank="1" showInputMessage="1" showErrorMessage="1" sqref="C116:C117" xr:uid="{DB0DBE22-929B-4203-B199-4E8A00E5AD68}">
      <formula1>"土地面积,分摊土地面积,（分摊）土地面积"</formula1>
    </dataValidation>
    <dataValidation type="list" allowBlank="1" showInputMessage="1" showErrorMessage="1" sqref="B116:B117" xr:uid="{78871EAB-D78E-4DDC-9E74-15055BA52BEF}">
      <formula1>"建筑面积,规划建筑面积,（规划）建筑面积"</formula1>
    </dataValidation>
    <dataValidation type="list" allowBlank="1" showInputMessage="1" showErrorMessage="1" sqref="C129" xr:uid="{5F0FD0DA-5A0A-46F9-8FAE-BE55CCF86747}">
      <formula1>"无,有"</formula1>
    </dataValidation>
    <dataValidation type="list" allowBlank="1" showInputMessage="1" showErrorMessage="1" sqref="F116:G116" xr:uid="{5678962D-0545-45BA-81E2-FF739511CD78}">
      <formula1>"建筑物价值,在建建筑物价值,建筑物/在建建筑物价值"</formula1>
    </dataValidation>
    <dataValidation type="list" allowBlank="1" showInputMessage="1" showErrorMessage="1" sqref="D116:E116" xr:uid="{F1AF84C7-2C2F-4F1A-8875-20F59750779A}">
      <formula1>"出让国有建设用地使用权价值,划拨国有建设用地使用权价值"</formula1>
    </dataValidation>
    <dataValidation type="list" allowBlank="1" showInputMessage="1" showErrorMessage="1" sqref="E103" xr:uid="{1B6580C1-A1B0-43C1-8CC3-EF382B808B1C}">
      <formula1>"2.估价师知悉的法定优先受偿款,2.估价师知悉的除抵押担保权以外的法定优先受偿款"</formula1>
    </dataValidation>
    <dataValidation type="list" allowBlank="1" showInputMessage="1" showErrorMessage="1" sqref="D92" xr:uid="{4AE78C8A-A87A-462B-8AA1-4515D796868C}">
      <formula1>"0,5%,10%"</formula1>
    </dataValidation>
    <dataValidation type="list" allowBlank="1" showInputMessage="1" showErrorMessage="1" sqref="H91" xr:uid="{4B97B183-A919-4470-8060-E85EBB853C47}">
      <formula1>"企业提供（在右侧录入）,——"</formula1>
    </dataValidation>
    <dataValidation type="list" allowBlank="1" showInputMessage="1" showErrorMessage="1" sqref="H88" xr:uid="{8F0EAA5B-9C96-4F4D-87D3-0DC6615A56BB}">
      <formula1>"仅含出让金,出让金+开发费"</formula1>
    </dataValidation>
    <dataValidation type="list" allowBlank="1" showInputMessage="1" showErrorMessage="1" sqref="G77" xr:uid="{74CEE24A-F486-4BA4-AA07-D23A122A7886}">
      <formula1>"个人住宅,2016年5月1日前购买,2016年5月1日后购买"</formula1>
    </dataValidation>
    <dataValidation type="list" allowBlank="1" showInputMessage="1" showErrorMessage="1" sqref="F75" xr:uid="{2B74E223-618E-4BCD-935E-D83077EA4830}">
      <formula1>"买卖合同,购房发票"</formula1>
    </dataValidation>
    <dataValidation type="list" allowBlank="1" showInputMessage="1" showErrorMessage="1" sqref="H59" xr:uid="{7BF8CB07-FC03-4F61-A81D-CBDB08D7BB27}">
      <formula1>"非个人房产,个人住宅（满五唯一有凭证）,个人其他（有凭证）,个人其他（无凭证）"</formula1>
    </dataValidation>
    <dataValidation type="list" allowBlank="1" showInputMessage="1" showErrorMessage="1" sqref="H58" xr:uid="{FEF458F2-B95B-4CD9-AB58-8792C4CA5144}">
      <formula1>"转让取得,自行开发建设"</formula1>
    </dataValidation>
    <dataValidation type="list" allowBlank="1" showInputMessage="1" showErrorMessage="1" sqref="H48" xr:uid="{04588812-EBA1-4954-9F18-2D37568FE879}">
      <formula1>"情况1,情况2,情况3,情况4"</formula1>
    </dataValidation>
    <dataValidation type="list" allowBlank="1" showInputMessage="1" showErrorMessage="1" sqref="F45" xr:uid="{2AB5664E-4930-42A1-97F3-0E116490C9E2}">
      <formula1>"100%,70%,56%"</formula1>
    </dataValidation>
    <dataValidation type="list" allowBlank="1" showInputMessage="1" showErrorMessage="1" sqref="D36" xr:uid="{A565DE77-B9AF-43C8-B94D-B428C4588839}">
      <formula1>"同一抵押权人同一抵押物续贷,注销后放款,正常操作"</formula1>
    </dataValidation>
    <dataValidation type="list" allowBlank="1" showInputMessage="1" showErrorMessage="1" sqref="C33" xr:uid="{7791A3FD-33A2-4F99-B3FB-FAF5C2F111CD}">
      <formula1>"成本比率,收益比率,自定义"</formula1>
    </dataValidation>
    <dataValidation type="list" allowBlank="1" showInputMessage="1" showErrorMessage="1" sqref="D32" xr:uid="{4DBB0753-FD22-4454-AADC-E39E6A11F9D6}">
      <formula1>"总价,楼面单价"</formula1>
    </dataValidation>
    <dataValidation type="list" allowBlank="1" showInputMessage="1" showErrorMessage="1" sqref="C4:D4 D33" xr:uid="{073B2627-987D-4BC1-858B-DBC5E949EC91}">
      <formula1>估价方法</formula1>
    </dataValidation>
    <dataValidation type="list" allowBlank="1" showInputMessage="1" showErrorMessage="1" sqref="I1" xr:uid="{4A5912BC-915B-40E5-B84D-373A96244EBC}">
      <formula1>"项目局部,项目全部,——"</formula1>
    </dataValidation>
    <dataValidation type="list" showInputMessage="1" showErrorMessage="1" sqref="G1" xr:uid="{917B0C74-C6FD-4283-8761-DA8546482BF9}">
      <formula1>"现房,在建,土地,-"</formula1>
    </dataValidation>
    <dataValidation type="list" allowBlank="1" showInputMessage="1" showErrorMessage="1" sqref="C1" xr:uid="{82DE50BA-EBF1-4AD8-A042-E7EE63447095}">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FF7F-C68C-4739-BF44-33160372F90D}">
  <sheetPr codeName="Sheet47">
    <tabColor rgb="FF92D050"/>
    <pageSetUpPr fitToPage="1"/>
  </sheetPr>
  <dimension ref="A1:AC131"/>
  <sheetViews>
    <sheetView view="pageBreakPreview" topLeftCell="A13" zoomScale="85" zoomScaleNormal="70" zoomScaleSheetLayoutView="85" workbookViewId="0">
      <selection activeCell="F9" sqref="F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1209.4065000000001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32256</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399" t="s">
        <v>1349</v>
      </c>
      <c r="AC4" s="3437" t="s">
        <v>1350</v>
      </c>
    </row>
    <row r="5" spans="1:29" ht="13.95" customHeight="1">
      <c r="A5" s="922"/>
      <c r="B5" s="923"/>
      <c r="C5" s="3431" t="s">
        <v>1575</v>
      </c>
      <c r="D5" s="3388"/>
      <c r="E5" s="3514" t="s">
        <v>2853</v>
      </c>
      <c r="F5" s="3433"/>
      <c r="G5" s="3387" t="s">
        <v>2854</v>
      </c>
      <c r="H5" s="3388"/>
      <c r="I5" s="3387" t="s">
        <v>2855</v>
      </c>
      <c r="J5" s="3388"/>
      <c r="K5" s="1064"/>
      <c r="L5" s="1065"/>
      <c r="M5" s="1015"/>
      <c r="N5" s="1015"/>
      <c r="O5" s="1015"/>
      <c r="P5" s="3440"/>
      <c r="Q5" s="3421"/>
      <c r="R5" s="3426"/>
      <c r="S5" s="3427"/>
      <c r="T5" s="3426"/>
      <c r="U5" s="3427"/>
      <c r="V5" s="3399"/>
      <c r="W5" s="3399"/>
      <c r="X5" s="1113"/>
      <c r="Y5" s="3426"/>
      <c r="Z5" s="3427"/>
      <c r="AA5" s="3413"/>
      <c r="AB5" s="3399"/>
      <c r="AC5" s="3413"/>
    </row>
    <row r="6" spans="1:29" ht="15" thickBot="1">
      <c r="A6" s="924"/>
      <c r="B6" s="925"/>
      <c r="C6" s="3389" t="s">
        <v>1354</v>
      </c>
      <c r="D6" s="3390"/>
      <c r="E6" s="3391" t="s">
        <v>2799</v>
      </c>
      <c r="F6" s="3392"/>
      <c r="G6" s="3389" t="s">
        <v>2799</v>
      </c>
      <c r="H6" s="3390"/>
      <c r="I6" s="3389" t="s">
        <v>2799</v>
      </c>
      <c r="J6" s="3390"/>
      <c r="K6" s="1064" t="s">
        <v>1355</v>
      </c>
      <c r="L6" s="1065"/>
      <c r="M6" s="1015"/>
      <c r="N6" s="1015"/>
      <c r="O6" s="1015"/>
      <c r="P6" s="3441"/>
      <c r="Q6" s="3423"/>
      <c r="R6" s="3426"/>
      <c r="S6" s="3427"/>
      <c r="T6" s="3428"/>
      <c r="U6" s="3429"/>
      <c r="V6" s="3399"/>
      <c r="W6" s="3399"/>
      <c r="X6" s="1113"/>
      <c r="Y6" s="3428"/>
      <c r="Z6" s="3429"/>
      <c r="AA6" s="3414"/>
      <c r="AB6" s="3399"/>
      <c r="AC6" s="3414"/>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395" t="s">
        <v>1357</v>
      </c>
      <c r="Q7" s="3394"/>
      <c r="R7" s="1114" t="s">
        <v>1358</v>
      </c>
      <c r="S7" s="1115">
        <f t="shared" ref="S7:S15" si="0">F7</f>
        <v>100</v>
      </c>
      <c r="T7" s="1114" t="s">
        <v>1358</v>
      </c>
      <c r="U7" s="1115">
        <f t="shared" ref="U7:U15" si="1">H7</f>
        <v>100</v>
      </c>
      <c r="V7" s="1114" t="s">
        <v>1358</v>
      </c>
      <c r="W7" s="1115">
        <f t="shared" ref="W7:W15" si="2">J7</f>
        <v>100</v>
      </c>
      <c r="X7" s="1116"/>
      <c r="Y7" s="3395" t="s">
        <v>1357</v>
      </c>
      <c r="Z7" s="3396"/>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395" t="s">
        <v>1361</v>
      </c>
      <c r="Q8" s="3396"/>
      <c r="R8" s="1114" t="s">
        <v>1358</v>
      </c>
      <c r="S8" s="1115">
        <f t="shared" si="0"/>
        <v>102</v>
      </c>
      <c r="T8" s="1114" t="s">
        <v>1358</v>
      </c>
      <c r="U8" s="1115">
        <f t="shared" si="1"/>
        <v>102</v>
      </c>
      <c r="V8" s="1114" t="s">
        <v>1358</v>
      </c>
      <c r="W8" s="1115">
        <f t="shared" si="2"/>
        <v>102</v>
      </c>
      <c r="X8" s="1116"/>
      <c r="Y8" s="3395" t="s">
        <v>1361</v>
      </c>
      <c r="Z8" s="339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397"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1277" t="s">
        <v>2858</v>
      </c>
      <c r="D10" s="942">
        <v>100</v>
      </c>
      <c r="E10" s="3530" t="s">
        <v>2857</v>
      </c>
      <c r="F10" s="940">
        <f>SUMIF(65:65,E10,66:66)-SUMIF(65:65,C10,66:66)+100</f>
        <v>97</v>
      </c>
      <c r="G10" s="3530" t="s">
        <v>2857</v>
      </c>
      <c r="H10" s="942">
        <f>SUMIF(65:65,G10,66:66)-SUMIF(65:65,C10,66:66)+100</f>
        <v>97</v>
      </c>
      <c r="I10" s="1277" t="s">
        <v>2858</v>
      </c>
      <c r="J10" s="942">
        <f>SUMIF(65:65,I10,66:66)-SUMIF(65:65,C10,66:66)+100</f>
        <v>100</v>
      </c>
      <c r="K10" s="1069"/>
      <c r="L10" s="1075"/>
      <c r="M10" s="1076"/>
      <c r="N10" s="1076"/>
      <c r="O10" s="1076"/>
      <c r="P10" s="3397"/>
      <c r="Q10" s="790" t="str">
        <f t="shared" si="6"/>
        <v>土地使用年限（年）</v>
      </c>
      <c r="R10" s="1114" t="s">
        <v>1358</v>
      </c>
      <c r="S10" s="1115">
        <f t="shared" si="0"/>
        <v>97</v>
      </c>
      <c r="T10" s="1114" t="s">
        <v>1358</v>
      </c>
      <c r="U10" s="1115">
        <f t="shared" si="1"/>
        <v>97</v>
      </c>
      <c r="V10" s="1114" t="s">
        <v>1358</v>
      </c>
      <c r="W10" s="1115">
        <f t="shared" si="2"/>
        <v>100</v>
      </c>
      <c r="X10" s="1116"/>
      <c r="Y10" s="3369"/>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397"/>
      <c r="Q11" s="790" t="str">
        <f t="shared" si="6"/>
        <v>容积率</v>
      </c>
      <c r="R11" s="1114" t="s">
        <v>1358</v>
      </c>
      <c r="S11" s="1115">
        <f t="shared" si="0"/>
        <v>100</v>
      </c>
      <c r="T11" s="1114" t="s">
        <v>1358</v>
      </c>
      <c r="U11" s="1115">
        <f t="shared" si="1"/>
        <v>100</v>
      </c>
      <c r="V11" s="1114" t="s">
        <v>1358</v>
      </c>
      <c r="W11" s="1115">
        <f t="shared" si="2"/>
        <v>100</v>
      </c>
      <c r="X11" s="1116"/>
      <c r="Y11" s="3369"/>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7"/>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7"/>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7"/>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0" t="s">
        <v>1370</v>
      </c>
      <c r="Q15" s="621" t="str">
        <f t="shared" si="6"/>
        <v>商业繁华度</v>
      </c>
      <c r="R15" s="1118" t="s">
        <v>1358</v>
      </c>
      <c r="S15" s="1119">
        <f t="shared" si="0"/>
        <v>102</v>
      </c>
      <c r="T15" s="1118" t="s">
        <v>1358</v>
      </c>
      <c r="U15" s="1119">
        <f t="shared" si="1"/>
        <v>102</v>
      </c>
      <c r="V15" s="1118" t="s">
        <v>1358</v>
      </c>
      <c r="W15" s="1119">
        <f t="shared" si="2"/>
        <v>102</v>
      </c>
      <c r="X15" s="1113"/>
      <c r="Y15" s="3405"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1"/>
      <c r="Q16" s="621"/>
      <c r="R16" s="1118"/>
      <c r="S16" s="1119"/>
      <c r="T16" s="1118"/>
      <c r="U16" s="1119"/>
      <c r="V16" s="1118"/>
      <c r="W16" s="1119"/>
      <c r="X16" s="1113"/>
      <c r="Y16" s="3406"/>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1"/>
      <c r="Q17" s="621" t="str">
        <f>B17</f>
        <v>交通便捷度</v>
      </c>
      <c r="R17" s="1118" t="s">
        <v>1358</v>
      </c>
      <c r="S17" s="1119">
        <f>F17</f>
        <v>102</v>
      </c>
      <c r="T17" s="1118" t="s">
        <v>1358</v>
      </c>
      <c r="U17" s="1119">
        <f>H17</f>
        <v>102</v>
      </c>
      <c r="V17" s="1118" t="s">
        <v>1358</v>
      </c>
      <c r="W17" s="1119">
        <f>J17</f>
        <v>102</v>
      </c>
      <c r="X17" s="1113"/>
      <c r="Y17" s="3406"/>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1"/>
      <c r="Q18" s="621"/>
      <c r="R18" s="1118"/>
      <c r="S18" s="1119"/>
      <c r="T18" s="1118"/>
      <c r="U18" s="1119"/>
      <c r="V18" s="1118"/>
      <c r="W18" s="1119"/>
      <c r="X18" s="1113"/>
      <c r="Y18" s="3406"/>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1"/>
      <c r="Q19" s="621" t="str">
        <f>B19</f>
        <v>公共配套设施</v>
      </c>
      <c r="R19" s="1118" t="s">
        <v>1358</v>
      </c>
      <c r="S19" s="1119">
        <f>F19</f>
        <v>100</v>
      </c>
      <c r="T19" s="1118" t="s">
        <v>1358</v>
      </c>
      <c r="U19" s="1119">
        <f>H19</f>
        <v>100</v>
      </c>
      <c r="V19" s="1118" t="s">
        <v>1358</v>
      </c>
      <c r="W19" s="1119">
        <f>J19</f>
        <v>100</v>
      </c>
      <c r="X19" s="1113"/>
      <c r="Y19" s="3406"/>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1"/>
      <c r="Q20" s="621"/>
      <c r="R20" s="1118"/>
      <c r="S20" s="1119"/>
      <c r="T20" s="1118"/>
      <c r="U20" s="1119"/>
      <c r="V20" s="1118"/>
      <c r="W20" s="1119"/>
      <c r="X20" s="1113"/>
      <c r="Y20" s="3406"/>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1"/>
      <c r="Q21" s="621" t="str">
        <f>B21</f>
        <v>基础设施水平</v>
      </c>
      <c r="R21" s="1118" t="s">
        <v>1358</v>
      </c>
      <c r="S21" s="1119">
        <f>F21</f>
        <v>100</v>
      </c>
      <c r="T21" s="1118" t="s">
        <v>1358</v>
      </c>
      <c r="U21" s="1119">
        <f>H21</f>
        <v>100</v>
      </c>
      <c r="V21" s="1118" t="s">
        <v>1358</v>
      </c>
      <c r="W21" s="1119">
        <f>J21</f>
        <v>100</v>
      </c>
      <c r="X21" s="1113"/>
      <c r="Y21" s="3406"/>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1"/>
      <c r="Q22" s="621"/>
      <c r="R22" s="1118"/>
      <c r="S22" s="1119"/>
      <c r="T22" s="1118"/>
      <c r="U22" s="1119"/>
      <c r="V22" s="1118"/>
      <c r="W22" s="1119"/>
      <c r="X22" s="1113"/>
      <c r="Y22" s="3406"/>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1"/>
      <c r="Q23" s="621" t="str">
        <f>B23</f>
        <v>自然及人文环境</v>
      </c>
      <c r="R23" s="1118" t="s">
        <v>1358</v>
      </c>
      <c r="S23" s="1119">
        <f>F23</f>
        <v>100</v>
      </c>
      <c r="T23" s="1118" t="s">
        <v>1358</v>
      </c>
      <c r="U23" s="1119">
        <f>H23</f>
        <v>100</v>
      </c>
      <c r="V23" s="1118" t="s">
        <v>1358</v>
      </c>
      <c r="W23" s="1119">
        <f>J23</f>
        <v>100</v>
      </c>
      <c r="X23" s="1113"/>
      <c r="Y23" s="3406"/>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1"/>
      <c r="Q24" s="621"/>
      <c r="R24" s="1118"/>
      <c r="S24" s="1119"/>
      <c r="T24" s="1118"/>
      <c r="U24" s="1119"/>
      <c r="V24" s="1118"/>
      <c r="W24" s="1119"/>
      <c r="X24" s="1113"/>
      <c r="Y24" s="3406"/>
      <c r="Z24" s="1102"/>
      <c r="AA24" s="1102">
        <v>1</v>
      </c>
      <c r="AB24" s="1102">
        <v>1</v>
      </c>
      <c r="AC24" s="1102">
        <v>1</v>
      </c>
    </row>
    <row r="25" spans="1:29" ht="15">
      <c r="A25" s="943"/>
      <c r="B25" s="940" t="s">
        <v>1606</v>
      </c>
      <c r="C25" s="976" t="s">
        <v>2844</v>
      </c>
      <c r="D25" s="755">
        <v>100</v>
      </c>
      <c r="E25" s="976" t="s">
        <v>2844</v>
      </c>
      <c r="F25" s="1097">
        <f>SUMIF(86:86,E25,87:87)-SUMIF(86:86,C25,87:87)+100</f>
        <v>100</v>
      </c>
      <c r="G25" s="976" t="s">
        <v>2844</v>
      </c>
      <c r="H25" s="755">
        <f>SUMIF(86:86,G25,87:87)-SUMIF(86:86,C25,87:87)+100</f>
        <v>100</v>
      </c>
      <c r="I25" s="976" t="s">
        <v>2844</v>
      </c>
      <c r="J25" s="755">
        <f>SUMIF(86:86,I25,87:87)-SUMIF(86:86,C25,87:87)+100</f>
        <v>100</v>
      </c>
      <c r="K25" s="1088"/>
      <c r="L25" s="1081"/>
      <c r="M25" s="1015"/>
      <c r="N25" s="1015"/>
      <c r="O25" s="1015"/>
      <c r="P25" s="3401"/>
      <c r="Q25" s="621" t="str">
        <f t="shared" ref="Q25:Q46" si="11">B25</f>
        <v>临街状况</v>
      </c>
      <c r="R25" s="1118" t="s">
        <v>1358</v>
      </c>
      <c r="S25" s="1119">
        <f>F25</f>
        <v>100</v>
      </c>
      <c r="T25" s="1118" t="s">
        <v>1358</v>
      </c>
      <c r="U25" s="1119">
        <f>H25</f>
        <v>100</v>
      </c>
      <c r="V25" s="1118" t="s">
        <v>1358</v>
      </c>
      <c r="W25" s="1119">
        <f>J25</f>
        <v>100</v>
      </c>
      <c r="X25" s="1113"/>
      <c r="Y25" s="3406"/>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1"/>
      <c r="Q26" s="621" t="str">
        <f t="shared" si="11"/>
        <v>平面位置/可视性</v>
      </c>
      <c r="R26" s="1118" t="s">
        <v>1358</v>
      </c>
      <c r="S26" s="1119">
        <f>F26</f>
        <v>100</v>
      </c>
      <c r="T26" s="1118" t="s">
        <v>1358</v>
      </c>
      <c r="U26" s="1119">
        <f>H26</f>
        <v>100</v>
      </c>
      <c r="V26" s="1118" t="s">
        <v>1358</v>
      </c>
      <c r="W26" s="1119">
        <f>J26</f>
        <v>100</v>
      </c>
      <c r="X26" s="1113"/>
      <c r="Y26" s="3406"/>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01"/>
      <c r="Q27" s="790" t="str">
        <f t="shared" si="11"/>
        <v>人流量</v>
      </c>
      <c r="R27" s="1114" t="s">
        <v>1358</v>
      </c>
      <c r="S27" s="1115">
        <f>F27</f>
        <v>100</v>
      </c>
      <c r="T27" s="1114" t="s">
        <v>1358</v>
      </c>
      <c r="U27" s="1115">
        <f>H27</f>
        <v>100</v>
      </c>
      <c r="V27" s="1114" t="s">
        <v>1358</v>
      </c>
      <c r="W27" s="1115">
        <f>J27</f>
        <v>100</v>
      </c>
      <c r="X27" s="1116"/>
      <c r="Y27" s="3406"/>
      <c r="Z27" s="1126" t="str">
        <f>Q27</f>
        <v>人流量</v>
      </c>
      <c r="AA27" s="1102">
        <f t="shared" si="3"/>
        <v>1</v>
      </c>
      <c r="AB27" s="1102">
        <f t="shared" si="4"/>
        <v>1</v>
      </c>
      <c r="AC27" s="1102">
        <f t="shared" si="5"/>
        <v>1</v>
      </c>
    </row>
    <row r="28" spans="1:29" ht="15">
      <c r="A28" s="943"/>
      <c r="B28" s="940" t="s">
        <v>1378</v>
      </c>
      <c r="C28" s="976" t="s">
        <v>2835</v>
      </c>
      <c r="D28" s="755">
        <v>100</v>
      </c>
      <c r="E28" s="976" t="s">
        <v>2835</v>
      </c>
      <c r="F28" s="1097">
        <f>SUMIF(92:92,E28,93:93)-SUMIF(92:92,C28,93:93)+100</f>
        <v>100</v>
      </c>
      <c r="G28" s="976" t="s">
        <v>2835</v>
      </c>
      <c r="H28" s="755">
        <f>SUMIF(92:92,G28,93:93)-SUMIF(92:92,C28,93:93)+100</f>
        <v>100</v>
      </c>
      <c r="I28" s="976" t="s">
        <v>2835</v>
      </c>
      <c r="J28" s="755">
        <f>SUMIF(92:92,I28,93:93)-SUMIF(92:92,C28,93:93)+100</f>
        <v>100</v>
      </c>
      <c r="K28" s="1087"/>
      <c r="L28" s="1081"/>
      <c r="M28" s="1015"/>
      <c r="N28" s="1015"/>
      <c r="O28" s="1015"/>
      <c r="P28" s="3401"/>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06"/>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1"/>
      <c r="Q29" s="621">
        <f t="shared" si="11"/>
        <v>111</v>
      </c>
      <c r="R29" s="1118" t="s">
        <v>1358</v>
      </c>
      <c r="S29" s="1119">
        <f t="shared" si="12"/>
        <v>100</v>
      </c>
      <c r="T29" s="1118" t="s">
        <v>1358</v>
      </c>
      <c r="U29" s="1119">
        <f t="shared" si="13"/>
        <v>100</v>
      </c>
      <c r="V29" s="1118" t="s">
        <v>1358</v>
      </c>
      <c r="W29" s="1119">
        <f t="shared" si="14"/>
        <v>100</v>
      </c>
      <c r="X29" s="1113"/>
      <c r="Y29" s="3406"/>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1"/>
      <c r="Q30" s="621">
        <f t="shared" si="11"/>
        <v>111</v>
      </c>
      <c r="R30" s="1118" t="s">
        <v>1358</v>
      </c>
      <c r="S30" s="1119">
        <f t="shared" si="12"/>
        <v>100</v>
      </c>
      <c r="T30" s="1118" t="s">
        <v>1358</v>
      </c>
      <c r="U30" s="1119">
        <f t="shared" si="13"/>
        <v>100</v>
      </c>
      <c r="V30" s="1118" t="s">
        <v>1358</v>
      </c>
      <c r="W30" s="1119">
        <f t="shared" si="14"/>
        <v>100</v>
      </c>
      <c r="X30" s="1113"/>
      <c r="Y30" s="3406"/>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1"/>
      <c r="Q31" s="621">
        <f t="shared" si="11"/>
        <v>111</v>
      </c>
      <c r="R31" s="1118" t="s">
        <v>1358</v>
      </c>
      <c r="S31" s="1119">
        <f t="shared" si="12"/>
        <v>100</v>
      </c>
      <c r="T31" s="1118" t="s">
        <v>1358</v>
      </c>
      <c r="U31" s="1119">
        <f t="shared" si="13"/>
        <v>100</v>
      </c>
      <c r="V31" s="1118" t="s">
        <v>1358</v>
      </c>
      <c r="W31" s="1119">
        <f t="shared" si="14"/>
        <v>100</v>
      </c>
      <c r="X31" s="1113"/>
      <c r="Y31" s="3406"/>
      <c r="Z31" s="1102">
        <f t="shared" si="15"/>
        <v>111</v>
      </c>
      <c r="AA31" s="1102">
        <f t="shared" si="3"/>
        <v>1</v>
      </c>
      <c r="AB31" s="1102">
        <f t="shared" si="4"/>
        <v>1</v>
      </c>
      <c r="AC31" s="1102">
        <f t="shared" si="5"/>
        <v>1</v>
      </c>
    </row>
    <row r="32" spans="1:29" ht="15">
      <c r="A32" s="956" t="s">
        <v>1381</v>
      </c>
      <c r="B32" s="936" t="s">
        <v>1609</v>
      </c>
      <c r="C32" s="1283" t="s">
        <v>2845</v>
      </c>
      <c r="D32" s="920">
        <v>100</v>
      </c>
      <c r="E32" s="1283" t="s">
        <v>2845</v>
      </c>
      <c r="F32" s="1097">
        <f>SUMIF(100:100,E32,101:101)-SUMIF(100:100,C32,101:101)+100</f>
        <v>100</v>
      </c>
      <c r="G32" s="1283" t="s">
        <v>2845</v>
      </c>
      <c r="H32" s="755">
        <f>SUMIF(100:100,G32,101:101)-SUMIF(100:100,C32,101:101)+100</f>
        <v>100</v>
      </c>
      <c r="I32" s="1283" t="s">
        <v>2845</v>
      </c>
      <c r="J32" s="920">
        <f>SUMIF(100:100,I32,101:101)-SUMIF(100:100,C32,101:101)+100</f>
        <v>100</v>
      </c>
      <c r="K32" s="1088"/>
      <c r="L32" s="1081"/>
      <c r="M32" s="1015"/>
      <c r="N32" s="1015"/>
      <c r="O32" s="1015"/>
      <c r="P32" s="3402" t="s">
        <v>1384</v>
      </c>
      <c r="Q32" s="621" t="str">
        <f t="shared" si="11"/>
        <v>商业类型</v>
      </c>
      <c r="R32" s="1118" t="s">
        <v>1358</v>
      </c>
      <c r="S32" s="1119">
        <f t="shared" si="12"/>
        <v>100</v>
      </c>
      <c r="T32" s="1118" t="s">
        <v>1358</v>
      </c>
      <c r="U32" s="1119">
        <f t="shared" si="13"/>
        <v>100</v>
      </c>
      <c r="V32" s="1118" t="s">
        <v>1358</v>
      </c>
      <c r="W32" s="1119">
        <f t="shared" si="14"/>
        <v>100</v>
      </c>
      <c r="X32" s="1113"/>
      <c r="Y32" s="3407"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355.32</v>
      </c>
      <c r="D33" s="942">
        <v>100</v>
      </c>
      <c r="E33" s="945">
        <v>93.81</v>
      </c>
      <c r="F33" s="940">
        <f>LOOKUP(E33,103:103,104:104)-LOOKUP(C33,103:103,104:104)+100</f>
        <v>102</v>
      </c>
      <c r="G33" s="944">
        <v>126.85</v>
      </c>
      <c r="H33" s="942">
        <f>LOOKUP(G33,103:103,104:104)-LOOKUP(C33,103:103,104:104)+100</f>
        <v>101</v>
      </c>
      <c r="I33" s="944">
        <v>105.19</v>
      </c>
      <c r="J33" s="942">
        <f>LOOKUP(I33,103:103,104:104)-LOOKUP(C33,103:103,104:104)+100</f>
        <v>101</v>
      </c>
      <c r="K33" s="1087"/>
      <c r="L33" s="1079"/>
      <c r="M33" s="1089"/>
      <c r="N33" s="1089"/>
      <c r="O33" s="1089"/>
      <c r="P33" s="3403"/>
      <c r="Q33" s="1308" t="str">
        <f t="shared" si="11"/>
        <v>项目建筑规模</v>
      </c>
      <c r="R33" s="1120" t="s">
        <v>1358</v>
      </c>
      <c r="S33" s="1121">
        <f t="shared" si="12"/>
        <v>102</v>
      </c>
      <c r="T33" s="1120" t="s">
        <v>1358</v>
      </c>
      <c r="U33" s="1121">
        <f t="shared" si="13"/>
        <v>101</v>
      </c>
      <c r="V33" s="1120" t="s">
        <v>1358</v>
      </c>
      <c r="W33" s="1121">
        <f t="shared" si="14"/>
        <v>101</v>
      </c>
      <c r="X33" s="1122"/>
      <c r="Y33" s="3407"/>
      <c r="Z33" s="1127" t="str">
        <f t="shared" si="15"/>
        <v>项目建筑规模</v>
      </c>
      <c r="AA33" s="1102">
        <f t="shared" si="3"/>
        <v>0.98039215686274506</v>
      </c>
      <c r="AB33" s="1102">
        <f t="shared" si="4"/>
        <v>0.99009900990099009</v>
      </c>
      <c r="AC33" s="1102">
        <f t="shared" si="5"/>
        <v>0.99009900990099009</v>
      </c>
    </row>
    <row r="34" spans="1:29" ht="15">
      <c r="A34" s="991"/>
      <c r="B34" s="940" t="s">
        <v>1386</v>
      </c>
      <c r="C34" s="1287" t="s">
        <v>2846</v>
      </c>
      <c r="D34" s="755">
        <v>100</v>
      </c>
      <c r="E34" s="1287" t="s">
        <v>2846</v>
      </c>
      <c r="F34" s="1097">
        <f>SUMIF(105:105,E34,106:106)-SUMIF(105:105,C34,106:106)+100</f>
        <v>100</v>
      </c>
      <c r="G34" s="1287" t="s">
        <v>2846</v>
      </c>
      <c r="H34" s="755">
        <f>SUMIF(105:105,G34,106:106)-SUMIF(105:105,C34,106:106)+100</f>
        <v>100</v>
      </c>
      <c r="I34" s="1287" t="s">
        <v>2846</v>
      </c>
      <c r="J34" s="755">
        <f>SUMIF(105:105,I34,106:106)-SUMIF(105:105,C34,106:106)+100</f>
        <v>100</v>
      </c>
      <c r="K34" s="1088"/>
      <c r="L34" s="1081"/>
      <c r="M34" s="1015"/>
      <c r="N34" s="1015"/>
      <c r="O34" s="1015"/>
      <c r="P34" s="3403"/>
      <c r="Q34" s="621" t="str">
        <f t="shared" si="11"/>
        <v>建筑结构</v>
      </c>
      <c r="R34" s="1118" t="s">
        <v>1358</v>
      </c>
      <c r="S34" s="1119">
        <f t="shared" si="12"/>
        <v>100</v>
      </c>
      <c r="T34" s="1118" t="s">
        <v>1358</v>
      </c>
      <c r="U34" s="1119">
        <f t="shared" si="13"/>
        <v>100</v>
      </c>
      <c r="V34" s="1118" t="s">
        <v>1358</v>
      </c>
      <c r="W34" s="1119">
        <f t="shared" si="14"/>
        <v>100</v>
      </c>
      <c r="X34" s="1113"/>
      <c r="Y34" s="3407"/>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3"/>
      <c r="Q35" s="621" t="str">
        <f t="shared" si="11"/>
        <v>公共部分装修</v>
      </c>
      <c r="R35" s="1118" t="s">
        <v>1358</v>
      </c>
      <c r="S35" s="1119">
        <f t="shared" si="12"/>
        <v>100</v>
      </c>
      <c r="T35" s="1118" t="s">
        <v>1358</v>
      </c>
      <c r="U35" s="1119">
        <f t="shared" si="13"/>
        <v>100</v>
      </c>
      <c r="V35" s="1118" t="s">
        <v>1358</v>
      </c>
      <c r="W35" s="1119">
        <f t="shared" si="14"/>
        <v>100</v>
      </c>
      <c r="X35" s="1113"/>
      <c r="Y35" s="3407"/>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3"/>
      <c r="Q36" s="621" t="str">
        <f t="shared" si="11"/>
        <v>成新度</v>
      </c>
      <c r="R36" s="1118" t="s">
        <v>1358</v>
      </c>
      <c r="S36" s="1119">
        <f t="shared" si="12"/>
        <v>100</v>
      </c>
      <c r="T36" s="1118" t="s">
        <v>1358</v>
      </c>
      <c r="U36" s="1119">
        <f t="shared" si="13"/>
        <v>100</v>
      </c>
      <c r="V36" s="1118" t="s">
        <v>1358</v>
      </c>
      <c r="W36" s="1119">
        <f t="shared" si="14"/>
        <v>100</v>
      </c>
      <c r="X36" s="1113"/>
      <c r="Y36" s="3407"/>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3"/>
      <c r="Q37" s="790" t="str">
        <f t="shared" si="11"/>
        <v>市政基础设施</v>
      </c>
      <c r="R37" s="1114" t="s">
        <v>1358</v>
      </c>
      <c r="S37" s="1115">
        <f t="shared" si="12"/>
        <v>100</v>
      </c>
      <c r="T37" s="1114" t="s">
        <v>1358</v>
      </c>
      <c r="U37" s="1115">
        <f t="shared" si="13"/>
        <v>100</v>
      </c>
      <c r="V37" s="1114" t="s">
        <v>1358</v>
      </c>
      <c r="W37" s="1115">
        <f t="shared" si="14"/>
        <v>100</v>
      </c>
      <c r="X37" s="1116"/>
      <c r="Y37" s="3407"/>
      <c r="Z37" s="1126" t="str">
        <f t="shared" si="15"/>
        <v>市政基础设施</v>
      </c>
      <c r="AA37" s="1126">
        <f t="shared" si="3"/>
        <v>1</v>
      </c>
      <c r="AB37" s="1126">
        <f t="shared" si="4"/>
        <v>1</v>
      </c>
      <c r="AC37" s="1126">
        <f t="shared" si="5"/>
        <v>1</v>
      </c>
    </row>
    <row r="38" spans="1:29" ht="15">
      <c r="A38" s="991"/>
      <c r="B38" s="940" t="s">
        <v>1610</v>
      </c>
      <c r="C38" s="992" t="s">
        <v>2847</v>
      </c>
      <c r="D38" s="755">
        <v>100</v>
      </c>
      <c r="E38" s="992" t="s">
        <v>2847</v>
      </c>
      <c r="F38" s="1097">
        <f>SUMIF(114:114,E38,115:115)-SUMIF(114:114,C38,115:115)+100</f>
        <v>100</v>
      </c>
      <c r="G38" s="992" t="s">
        <v>2847</v>
      </c>
      <c r="H38" s="755">
        <f>SUMIF(114:114,G38,115:115)-SUMIF(114:114,C38,115:115)+100</f>
        <v>100</v>
      </c>
      <c r="I38" s="992" t="s">
        <v>2847</v>
      </c>
      <c r="J38" s="755">
        <f>SUMIF(114:114,I38,115:115)-SUMIF(114:114,C38,115:115)+100</f>
        <v>100</v>
      </c>
      <c r="K38" s="1088"/>
      <c r="L38" s="1081"/>
      <c r="M38" s="1015"/>
      <c r="N38" s="1015"/>
      <c r="O38" s="1015"/>
      <c r="P38" s="3403" t="s">
        <v>1384</v>
      </c>
      <c r="Q38" s="621" t="str">
        <f t="shared" si="11"/>
        <v>业态</v>
      </c>
      <c r="R38" s="1118" t="s">
        <v>1358</v>
      </c>
      <c r="S38" s="1119">
        <f t="shared" si="12"/>
        <v>100</v>
      </c>
      <c r="T38" s="1118" t="s">
        <v>1358</v>
      </c>
      <c r="U38" s="1119">
        <f t="shared" si="13"/>
        <v>100</v>
      </c>
      <c r="V38" s="1118" t="s">
        <v>1358</v>
      </c>
      <c r="W38" s="1119">
        <f t="shared" si="14"/>
        <v>100</v>
      </c>
      <c r="X38" s="1113"/>
      <c r="Y38" s="3407"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03"/>
      <c r="Q39" s="621" t="str">
        <f t="shared" si="11"/>
        <v>层高</v>
      </c>
      <c r="R39" s="1118" t="s">
        <v>1358</v>
      </c>
      <c r="S39" s="1119">
        <f t="shared" si="12"/>
        <v>100</v>
      </c>
      <c r="T39" s="1118" t="s">
        <v>1358</v>
      </c>
      <c r="U39" s="1119">
        <f t="shared" si="13"/>
        <v>100</v>
      </c>
      <c r="V39" s="1118" t="s">
        <v>1358</v>
      </c>
      <c r="W39" s="1119">
        <f t="shared" si="14"/>
        <v>100</v>
      </c>
      <c r="X39" s="1113"/>
      <c r="Y39" s="3407"/>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3"/>
      <c r="Q40" s="621" t="str">
        <f t="shared" si="11"/>
        <v>单套建筑面积</v>
      </c>
      <c r="R40" s="1118" t="s">
        <v>1358</v>
      </c>
      <c r="S40" s="1119">
        <f t="shared" si="12"/>
        <v>100</v>
      </c>
      <c r="T40" s="1118" t="s">
        <v>1358</v>
      </c>
      <c r="U40" s="1119">
        <f t="shared" si="13"/>
        <v>100</v>
      </c>
      <c r="V40" s="1118" t="s">
        <v>1358</v>
      </c>
      <c r="W40" s="1119">
        <f t="shared" si="14"/>
        <v>100</v>
      </c>
      <c r="X40" s="1113"/>
      <c r="Y40" s="3407"/>
      <c r="Z40" s="1102" t="str">
        <f t="shared" si="15"/>
        <v>单套建筑面积</v>
      </c>
      <c r="AA40" s="1102">
        <f t="shared" si="3"/>
        <v>1</v>
      </c>
      <c r="AB40" s="1102">
        <f t="shared" si="4"/>
        <v>1</v>
      </c>
      <c r="AC40" s="1102">
        <f t="shared" si="5"/>
        <v>1</v>
      </c>
    </row>
    <row r="41" spans="1:29" s="901" customFormat="1" ht="15">
      <c r="A41" s="996"/>
      <c r="B41" s="1097" t="s">
        <v>1611</v>
      </c>
      <c r="C41" s="976" t="s">
        <v>2848</v>
      </c>
      <c r="D41" s="755">
        <v>100</v>
      </c>
      <c r="E41" s="976" t="s">
        <v>2848</v>
      </c>
      <c r="F41" s="1097">
        <f>SUMIF(120:120,E41,121:121)-SUMIF(120:120,C41,121:121)+100</f>
        <v>100</v>
      </c>
      <c r="G41" s="976" t="s">
        <v>2848</v>
      </c>
      <c r="H41" s="755">
        <f>SUMIF(120:120,G41,121:121)-SUMIF(120:120,C41,121:121)+100</f>
        <v>100</v>
      </c>
      <c r="I41" s="976" t="s">
        <v>2848</v>
      </c>
      <c r="J41" s="755">
        <f>SUMIF(120:120,I41,121:121)-SUMIF(120:120,C41,121:121)+100</f>
        <v>100</v>
      </c>
      <c r="K41" s="1088"/>
      <c r="L41" s="1079"/>
      <c r="M41" s="1089"/>
      <c r="N41" s="1089"/>
      <c r="O41" s="1089"/>
      <c r="P41" s="3403"/>
      <c r="Q41" s="1308" t="str">
        <f t="shared" si="11"/>
        <v>进深比</v>
      </c>
      <c r="R41" s="1120" t="s">
        <v>1358</v>
      </c>
      <c r="S41" s="1121">
        <f t="shared" si="12"/>
        <v>100</v>
      </c>
      <c r="T41" s="1120" t="s">
        <v>1358</v>
      </c>
      <c r="U41" s="1121">
        <f t="shared" si="13"/>
        <v>100</v>
      </c>
      <c r="V41" s="1120" t="s">
        <v>1358</v>
      </c>
      <c r="W41" s="1121">
        <f t="shared" si="14"/>
        <v>100</v>
      </c>
      <c r="X41" s="1122"/>
      <c r="Y41" s="3407"/>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100</v>
      </c>
      <c r="I42" s="992" t="s">
        <v>1398</v>
      </c>
      <c r="J42" s="755">
        <f>SUMIF(122:122,I42,123:123)-SUMIF(122:122,C42,123:123)+100</f>
        <v>100</v>
      </c>
      <c r="K42" s="1088"/>
      <c r="L42" s="1081"/>
      <c r="M42" s="1015"/>
      <c r="N42" s="1015"/>
      <c r="O42" s="1015"/>
      <c r="P42" s="3403"/>
      <c r="Q42" s="621" t="str">
        <f t="shared" si="11"/>
        <v>内部装修</v>
      </c>
      <c r="R42" s="1118" t="s">
        <v>1358</v>
      </c>
      <c r="S42" s="1119">
        <f t="shared" si="12"/>
        <v>100</v>
      </c>
      <c r="T42" s="1118" t="s">
        <v>1358</v>
      </c>
      <c r="U42" s="1119">
        <f t="shared" si="13"/>
        <v>100</v>
      </c>
      <c r="V42" s="1118" t="s">
        <v>1358</v>
      </c>
      <c r="W42" s="1119">
        <f t="shared" si="14"/>
        <v>100</v>
      </c>
      <c r="X42" s="1113"/>
      <c r="Y42" s="3407"/>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03"/>
      <c r="Q43" s="621" t="str">
        <f t="shared" si="11"/>
        <v>内部装修维护情况</v>
      </c>
      <c r="R43" s="1118" t="s">
        <v>1358</v>
      </c>
      <c r="S43" s="1119">
        <f t="shared" si="12"/>
        <v>100</v>
      </c>
      <c r="T43" s="1118" t="s">
        <v>1358</v>
      </c>
      <c r="U43" s="1119">
        <f t="shared" si="13"/>
        <v>100</v>
      </c>
      <c r="V43" s="1118" t="s">
        <v>1358</v>
      </c>
      <c r="W43" s="1119">
        <f t="shared" si="14"/>
        <v>100</v>
      </c>
      <c r="X43" s="1113"/>
      <c r="Y43" s="3407"/>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3"/>
      <c r="Q44" s="790">
        <f t="shared" si="11"/>
        <v>111</v>
      </c>
      <c r="R44" s="1114" t="s">
        <v>1358</v>
      </c>
      <c r="S44" s="1115">
        <f t="shared" si="12"/>
        <v>100</v>
      </c>
      <c r="T44" s="1114" t="s">
        <v>1358</v>
      </c>
      <c r="U44" s="1115">
        <f t="shared" si="13"/>
        <v>100</v>
      </c>
      <c r="V44" s="1114" t="s">
        <v>1358</v>
      </c>
      <c r="W44" s="1115">
        <f t="shared" si="14"/>
        <v>100</v>
      </c>
      <c r="X44" s="1116"/>
      <c r="Y44" s="3407"/>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3"/>
      <c r="Q45" s="621">
        <f t="shared" si="11"/>
        <v>111</v>
      </c>
      <c r="R45" s="1118" t="s">
        <v>1358</v>
      </c>
      <c r="S45" s="1119">
        <f t="shared" si="12"/>
        <v>100</v>
      </c>
      <c r="T45" s="1118" t="s">
        <v>1358</v>
      </c>
      <c r="U45" s="1119">
        <f t="shared" si="13"/>
        <v>100</v>
      </c>
      <c r="V45" s="1118" t="s">
        <v>1358</v>
      </c>
      <c r="W45" s="1119">
        <f t="shared" si="14"/>
        <v>100</v>
      </c>
      <c r="X45" s="1113"/>
      <c r="Y45" s="3407"/>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4"/>
      <c r="Q46" s="621">
        <f t="shared" si="11"/>
        <v>111</v>
      </c>
      <c r="R46" s="1118" t="s">
        <v>1358</v>
      </c>
      <c r="S46" s="1119">
        <f t="shared" si="12"/>
        <v>100</v>
      </c>
      <c r="T46" s="1118" t="s">
        <v>1358</v>
      </c>
      <c r="U46" s="1119">
        <f t="shared" si="13"/>
        <v>100</v>
      </c>
      <c r="V46" s="1118" t="s">
        <v>1358</v>
      </c>
      <c r="W46" s="1119">
        <f t="shared" si="14"/>
        <v>100</v>
      </c>
      <c r="X46" s="1113"/>
      <c r="Y46" s="3408"/>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398" t="str">
        <f>A47</f>
        <v>成交单价（元/平方米）</v>
      </c>
      <c r="Q47" s="3398"/>
      <c r="R47" s="3399">
        <f>E47</f>
        <v>33579</v>
      </c>
      <c r="S47" s="3399"/>
      <c r="T47" s="3399">
        <f>G47</f>
        <v>35081</v>
      </c>
      <c r="U47" s="3399"/>
      <c r="V47" s="3399">
        <f>I47</f>
        <v>33274</v>
      </c>
      <c r="W47" s="3399"/>
      <c r="X47" s="1055"/>
      <c r="Y47" s="1128"/>
      <c r="Z47" s="1055"/>
      <c r="AA47" s="1055"/>
      <c r="AB47" s="1055"/>
      <c r="AC47" s="1055"/>
    </row>
    <row r="48" spans="1:29" ht="15" thickBot="1">
      <c r="A48" s="1006" t="s">
        <v>1401</v>
      </c>
      <c r="B48" s="1293"/>
      <c r="C48" s="1294">
        <f>R49</f>
        <v>32256</v>
      </c>
      <c r="D48" s="1009" t="s">
        <v>1402</v>
      </c>
      <c r="E48" s="1295">
        <f>R48</f>
        <v>31981</v>
      </c>
      <c r="F48" s="1010"/>
      <c r="G48" s="1294">
        <f>T48</f>
        <v>33743</v>
      </c>
      <c r="H48" s="1010"/>
      <c r="I48" s="1295">
        <f>V48</f>
        <v>31044</v>
      </c>
      <c r="J48" s="1010"/>
      <c r="K48" s="1095">
        <f>F48+H48+J48</f>
        <v>0</v>
      </c>
      <c r="L48" s="1094"/>
      <c r="M48" s="1015"/>
      <c r="N48" s="1015"/>
      <c r="O48" s="1015"/>
      <c r="P48" s="3398" t="str">
        <f>A48</f>
        <v>比较价值（元/平方米）</v>
      </c>
      <c r="Q48" s="3398"/>
      <c r="R48" s="3399">
        <f>IF(F1="售价",ROUND(PRODUCT(R47,AA7:AA46),0),ROUND(PRODUCT(R47,AA7:AA46),1))</f>
        <v>31981</v>
      </c>
      <c r="S48" s="3399"/>
      <c r="T48" s="3399">
        <f>IF(F1="售价",ROUND(PRODUCT(T47,AB7:AB46),0),ROUND(PRODUCT(T47,AB7:AB46),1))</f>
        <v>33743</v>
      </c>
      <c r="U48" s="3399"/>
      <c r="V48" s="3399">
        <f>IF(F1="售价",ROUND(PRODUCT(V47,AC7:AC46),0),ROUND(PRODUCT(V47,AC7:AC46),1))</f>
        <v>31044</v>
      </c>
      <c r="W48" s="3399"/>
      <c r="X48" s="1055"/>
      <c r="Y48" s="1055"/>
      <c r="Z48" s="1055"/>
      <c r="AA48" s="1055"/>
      <c r="AB48" s="1055"/>
      <c r="AC48" s="1055"/>
    </row>
    <row r="49" spans="1:29" ht="15" thickBot="1">
      <c r="A49" s="1012" t="s">
        <v>1403</v>
      </c>
      <c r="B49" s="1013"/>
      <c r="C49" s="925">
        <f>R49</f>
        <v>32256</v>
      </c>
      <c r="D49" s="925"/>
      <c r="E49" s="925"/>
      <c r="F49" s="925"/>
      <c r="G49" s="925"/>
      <c r="H49" s="925"/>
      <c r="I49" s="925"/>
      <c r="J49" s="925"/>
      <c r="K49" s="1096"/>
      <c r="L49" s="1094"/>
      <c r="M49" s="1015"/>
      <c r="N49" s="1015"/>
      <c r="O49" s="1015"/>
      <c r="P49" s="3434" t="str">
        <f>A49</f>
        <v>估价对象XX用房的比较价值（楼面单价，元/平方米）</v>
      </c>
      <c r="Q49" s="3435"/>
      <c r="R49" s="3436">
        <f>IF(F1="售价",ROUND(IF(D48="简单平均",AVERAGE(R48:V48),R48*F48+T48*H48+V48*J48),0),ROUND(IF(D48="简单平均",AVERAGE(R48:V48),R48*F48+T48*H48+V48*J48),1))</f>
        <v>32256</v>
      </c>
      <c r="S49" s="3436"/>
      <c r="T49" s="3436"/>
      <c r="U49" s="3436"/>
      <c r="V49" s="3436"/>
      <c r="W49" s="343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4.9967168006003648E-2</v>
      </c>
      <c r="F52" s="1019" t="str">
        <f>IF(OR(E52&gt;=0.3,E52&lt;=-0.3),"超过30%","")</f>
        <v/>
      </c>
      <c r="G52" s="1018">
        <f>IF(G47&lt;G48,G48/G47-1,G47/G48-1)</f>
        <v>3.9652668701656735E-2</v>
      </c>
      <c r="H52" s="1019" t="str">
        <f>IF(OR(G52&gt;=0.3,G52&lt;=-0.3),"超过30%","")</f>
        <v/>
      </c>
      <c r="I52" s="1018">
        <f>IF(I47&lt;I48,I48/I47-1,I47/I48-1)</f>
        <v>7.1833526607395948E-2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5.5095212782589664E-2</v>
      </c>
      <c r="F53" s="1019" t="str">
        <f>IF(OR(E53&gt;=0.2,E53&lt;=-0.2),"超过20%","")</f>
        <v/>
      </c>
      <c r="G53" s="1018">
        <f>IF(G48&lt;I48,I48/G48-1,G48/I48-1)</f>
        <v>8.6941115835588167E-2</v>
      </c>
      <c r="H53" s="1019" t="str">
        <f>IF(OR(G53&gt;=0.2,G53&lt;=-0.2),"超过20%","")</f>
        <v/>
      </c>
      <c r="I53" s="1018">
        <f>IF(I48&lt;E48,E48/I48-1,I48/E48-1)</f>
        <v>3.0182966112614285E-2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2858</v>
      </c>
      <c r="D65" s="3531" t="s">
        <v>2857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2802</v>
      </c>
      <c r="D86" s="2106" t="s">
        <v>2803</v>
      </c>
      <c r="E86" s="2106" t="s">
        <v>2804</v>
      </c>
      <c r="F86" s="2106" t="s">
        <v>2805</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2806</v>
      </c>
      <c r="D88" s="2106" t="s">
        <v>2807</v>
      </c>
      <c r="E88" s="2106" t="s">
        <v>2808</v>
      </c>
      <c r="F88" s="3180" t="s">
        <v>2809</v>
      </c>
      <c r="G88" s="2106" t="s">
        <v>2810</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2811</v>
      </c>
      <c r="D90" s="2106" t="s">
        <v>2812</v>
      </c>
      <c r="E90" s="2106" t="s">
        <v>2808</v>
      </c>
      <c r="F90" s="2106" t="s">
        <v>2813</v>
      </c>
      <c r="G90" s="2106" t="s">
        <v>2814</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1"/>
      <c r="O91" s="3109" t="s">
        <v>2833</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2852</v>
      </c>
      <c r="D92" s="1156"/>
      <c r="E92" s="1156"/>
      <c r="F92" s="1156"/>
      <c r="G92" s="1156"/>
      <c r="H92" s="1156"/>
      <c r="I92" s="1156"/>
      <c r="J92" s="1156"/>
      <c r="K92" s="1156"/>
      <c r="L92" s="1313"/>
      <c r="M92" s="1314"/>
      <c r="N92" s="3109" t="s">
        <v>2834</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2835</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2836</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2837</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2838</v>
      </c>
      <c r="O96" s="3181">
        <v>0.5</v>
      </c>
      <c r="P96" s="3181"/>
      <c r="Q96" s="901"/>
      <c r="R96" s="3182" t="s">
        <v>2843</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2839</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2840</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2841</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2815</v>
      </c>
      <c r="D100" s="2107" t="s">
        <v>2816</v>
      </c>
      <c r="E100" s="1091"/>
      <c r="F100" s="1091"/>
      <c r="G100" s="1091"/>
      <c r="H100" s="1091"/>
      <c r="I100" s="1091"/>
      <c r="J100" s="1091"/>
      <c r="K100" s="1184"/>
      <c r="L100" s="1185"/>
      <c r="M100" s="1186"/>
      <c r="N100" s="3109" t="s">
        <v>2842</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0(含)-100</v>
      </c>
      <c r="D102" s="1166" t="str">
        <f t="shared" ref="D102:L102" si="24">D103&amp;"(含)"&amp;"-"&amp;E103</f>
        <v>100(含)-300</v>
      </c>
      <c r="E102" s="1166" t="str">
        <f t="shared" si="24"/>
        <v>300(含)-500</v>
      </c>
      <c r="F102" s="1166" t="str">
        <f t="shared" si="24"/>
        <v>500(含)-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100</v>
      </c>
      <c r="E103" s="1134">
        <v>300</v>
      </c>
      <c r="F103" s="1134">
        <v>500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v>99</v>
      </c>
      <c r="E104" s="1147">
        <v>98</v>
      </c>
      <c r="F104" s="1147">
        <v>97</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2817</v>
      </c>
      <c r="D105" s="2106" t="s">
        <v>2818</v>
      </c>
      <c r="E105" s="2108" t="s">
        <v>2819</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5">C106-$K34</f>
        <v>100</v>
      </c>
      <c r="E106" s="1151">
        <f t="shared" si="25"/>
        <v>100</v>
      </c>
      <c r="F106" s="1151">
        <f t="shared" si="25"/>
        <v>100</v>
      </c>
      <c r="G106" s="1151">
        <f t="shared" si="25"/>
        <v>100</v>
      </c>
      <c r="H106" s="1151">
        <f t="shared" si="25"/>
        <v>100</v>
      </c>
      <c r="I106" s="1151">
        <f t="shared" si="25"/>
        <v>100</v>
      </c>
      <c r="J106" s="1151">
        <f t="shared" si="25"/>
        <v>100</v>
      </c>
      <c r="K106" s="1151">
        <f t="shared" si="25"/>
        <v>100</v>
      </c>
      <c r="L106" s="1151">
        <f t="shared" si="25"/>
        <v>100</v>
      </c>
      <c r="M106" s="1193">
        <f t="shared" si="25"/>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2820</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6">C108-$K35</f>
        <v>100</v>
      </c>
      <c r="E108" s="1151">
        <f t="shared" si="26"/>
        <v>100</v>
      </c>
      <c r="F108" s="1151">
        <f t="shared" si="26"/>
        <v>100</v>
      </c>
      <c r="G108" s="1151">
        <f t="shared" si="26"/>
        <v>100</v>
      </c>
      <c r="H108" s="1151">
        <f t="shared" si="26"/>
        <v>100</v>
      </c>
      <c r="I108" s="1151">
        <f t="shared" si="26"/>
        <v>100</v>
      </c>
      <c r="J108" s="1151">
        <f t="shared" si="26"/>
        <v>100</v>
      </c>
      <c r="K108" s="1151">
        <f t="shared" si="26"/>
        <v>100</v>
      </c>
      <c r="L108" s="1151">
        <f t="shared" si="26"/>
        <v>100</v>
      </c>
      <c r="M108" s="1193">
        <f t="shared" si="26"/>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100</v>
      </c>
      <c r="E111" s="1151">
        <f t="shared" ref="E111:M111" si="27">D111+$K36</f>
        <v>100</v>
      </c>
      <c r="F111" s="1151">
        <f t="shared" si="27"/>
        <v>100</v>
      </c>
      <c r="G111" s="1151">
        <f t="shared" si="27"/>
        <v>100</v>
      </c>
      <c r="H111" s="1151">
        <f t="shared" si="27"/>
        <v>100</v>
      </c>
      <c r="I111" s="1151">
        <f t="shared" si="27"/>
        <v>100</v>
      </c>
      <c r="J111" s="1151">
        <f t="shared" si="27"/>
        <v>100</v>
      </c>
      <c r="K111" s="1151">
        <f t="shared" si="27"/>
        <v>100</v>
      </c>
      <c r="L111" s="1151">
        <f t="shared" si="27"/>
        <v>100</v>
      </c>
      <c r="M111" s="1151">
        <f t="shared" si="27"/>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2821</v>
      </c>
      <c r="D112" s="2106" t="s">
        <v>2822</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100</v>
      </c>
      <c r="E113" s="1151">
        <f t="shared" ref="E113:M113" si="28">D113-$K37</f>
        <v>100</v>
      </c>
      <c r="F113" s="1151">
        <f t="shared" si="28"/>
        <v>100</v>
      </c>
      <c r="G113" s="1151">
        <f t="shared" si="28"/>
        <v>100</v>
      </c>
      <c r="H113" s="1151">
        <f t="shared" si="28"/>
        <v>100</v>
      </c>
      <c r="I113" s="1151">
        <f t="shared" si="28"/>
        <v>100</v>
      </c>
      <c r="J113" s="1151">
        <f t="shared" si="28"/>
        <v>100</v>
      </c>
      <c r="K113" s="1151">
        <f t="shared" si="28"/>
        <v>100</v>
      </c>
      <c r="L113" s="1151">
        <f t="shared" si="28"/>
        <v>100</v>
      </c>
      <c r="M113" s="1151">
        <f t="shared" si="28"/>
        <v>100</v>
      </c>
      <c r="V113" s="1089"/>
      <c r="W113" s="1089"/>
      <c r="X113" s="1089"/>
      <c r="Y113" s="1089"/>
      <c r="Z113" s="1089"/>
      <c r="AA113" s="1089"/>
      <c r="AB113" s="1089"/>
      <c r="AC113" s="1089"/>
    </row>
    <row r="114" spans="1:29" ht="15" thickTop="1">
      <c r="A114" s="991"/>
      <c r="B114" s="1148" t="s">
        <v>1610</v>
      </c>
      <c r="C114" s="2106" t="s">
        <v>2823</v>
      </c>
      <c r="D114" s="2106" t="s">
        <v>2824</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29">C115-$K38</f>
        <v>100</v>
      </c>
      <c r="E115" s="1151">
        <f t="shared" si="29"/>
        <v>100</v>
      </c>
      <c r="F115" s="1151">
        <f t="shared" si="29"/>
        <v>100</v>
      </c>
      <c r="G115" s="1151">
        <f t="shared" si="29"/>
        <v>100</v>
      </c>
      <c r="H115" s="1151">
        <f t="shared" si="29"/>
        <v>100</v>
      </c>
      <c r="I115" s="1151">
        <f t="shared" si="29"/>
        <v>100</v>
      </c>
      <c r="J115" s="1151">
        <f t="shared" si="29"/>
        <v>100</v>
      </c>
      <c r="K115" s="1151">
        <f t="shared" si="29"/>
        <v>100</v>
      </c>
      <c r="L115" s="1151">
        <f t="shared" si="29"/>
        <v>100</v>
      </c>
      <c r="M115" s="1193">
        <f t="shared" si="29"/>
        <v>100</v>
      </c>
      <c r="V115" s="1015"/>
      <c r="W115" s="1015"/>
      <c r="X115" s="1015"/>
      <c r="Y115" s="1015"/>
      <c r="Z115" s="1015"/>
      <c r="AA115" s="1015"/>
      <c r="AB115" s="1015"/>
      <c r="AC115" s="1015"/>
    </row>
    <row r="116" spans="1:29" ht="15" thickTop="1">
      <c r="A116" s="991"/>
      <c r="B116" s="1148" t="s">
        <v>1394</v>
      </c>
      <c r="C116" s="2106" t="s">
        <v>2825</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2826</v>
      </c>
      <c r="D120" s="2108" t="s">
        <v>2827</v>
      </c>
      <c r="E120" s="2108" t="s">
        <v>2808</v>
      </c>
      <c r="F120" s="2108" t="s">
        <v>2828</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100</v>
      </c>
      <c r="E121" s="1151">
        <f t="shared" ref="E121:M121" si="30">D121-$K41</f>
        <v>100</v>
      </c>
      <c r="F121" s="1151">
        <f t="shared" si="30"/>
        <v>100</v>
      </c>
      <c r="G121" s="1151">
        <f t="shared" si="30"/>
        <v>100</v>
      </c>
      <c r="H121" s="1151">
        <f t="shared" si="30"/>
        <v>100</v>
      </c>
      <c r="I121" s="1151">
        <f t="shared" si="30"/>
        <v>100</v>
      </c>
      <c r="J121" s="1151">
        <f t="shared" si="30"/>
        <v>100</v>
      </c>
      <c r="K121" s="1151">
        <f t="shared" si="30"/>
        <v>100</v>
      </c>
      <c r="L121" s="1151">
        <f t="shared" si="30"/>
        <v>100</v>
      </c>
      <c r="M121" s="1193">
        <f t="shared" si="30"/>
        <v>100</v>
      </c>
      <c r="V121" s="1089"/>
      <c r="W121" s="1089"/>
      <c r="X121" s="1089"/>
      <c r="Y121" s="1089"/>
      <c r="Z121" s="1089"/>
      <c r="AA121" s="1089"/>
      <c r="AB121" s="1089"/>
      <c r="AC121" s="1089"/>
    </row>
    <row r="122" spans="1:29" ht="15" thickTop="1">
      <c r="A122" s="991"/>
      <c r="B122" s="1148" t="s">
        <v>1397</v>
      </c>
      <c r="C122" s="2106" t="s">
        <v>2829</v>
      </c>
      <c r="D122" s="2106" t="s">
        <v>2830</v>
      </c>
      <c r="E122" s="2106" t="s">
        <v>2831</v>
      </c>
      <c r="F122" s="2108" t="s">
        <v>2832</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1">C123-$K42</f>
        <v>100</v>
      </c>
      <c r="E123" s="1151">
        <f t="shared" si="31"/>
        <v>100</v>
      </c>
      <c r="F123" s="1151">
        <f t="shared" si="31"/>
        <v>100</v>
      </c>
      <c r="G123" s="1151">
        <f t="shared" si="31"/>
        <v>100</v>
      </c>
      <c r="H123" s="1151">
        <f t="shared" si="31"/>
        <v>100</v>
      </c>
      <c r="I123" s="1151">
        <f t="shared" si="31"/>
        <v>100</v>
      </c>
      <c r="J123" s="1151">
        <f t="shared" si="31"/>
        <v>100</v>
      </c>
      <c r="K123" s="1151">
        <f t="shared" si="31"/>
        <v>100</v>
      </c>
      <c r="L123" s="1151">
        <f t="shared" si="31"/>
        <v>100</v>
      </c>
      <c r="M123" s="1193">
        <f t="shared" si="31"/>
        <v>100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909BC394-FA96-49DD-B235-349343F0B410}">
      <formula1>"简单平均,加权平均"</formula1>
    </dataValidation>
    <dataValidation type="list" allowBlank="1" showInputMessage="1" showErrorMessage="1" sqref="C43 E43 G43 I43" xr:uid="{75A61EB3-BC12-4AA4-82BF-A94B2199FF84}">
      <formula1>内部装修维护情况</formula1>
    </dataValidation>
    <dataValidation type="list" allowBlank="1" showInputMessage="1" showErrorMessage="1" sqref="C42 E42 G42 I42" xr:uid="{D37402BB-2ACD-4908-A261-6A56361A626E}">
      <formula1>商业内部装修</formula1>
    </dataValidation>
    <dataValidation type="list" allowBlank="1" showInputMessage="1" showErrorMessage="1" sqref="C41 E41 G41 I41" xr:uid="{9375FA05-46D2-444E-991B-94E4300221F1}">
      <formula1>商业进深比</formula1>
    </dataValidation>
    <dataValidation type="list" allowBlank="1" showInputMessage="1" showErrorMessage="1" sqref="C39 E39 G39 I39" xr:uid="{9FA6AB02-86D6-436C-B478-1FDD69AC94C5}">
      <formula1>商业层高</formula1>
    </dataValidation>
    <dataValidation type="list" allowBlank="1" showInputMessage="1" showErrorMessage="1" sqref="C38 E38 G38 I38" xr:uid="{8C239E4A-D0A8-498A-B3B1-74EFA4CA1C9D}">
      <formula1>商业业态</formula1>
    </dataValidation>
    <dataValidation type="list" allowBlank="1" showInputMessage="1" showErrorMessage="1" sqref="C37 E37 G37 I37" xr:uid="{B9ABFFCB-5D0D-4BFD-A516-0AADBEC8FCBC}">
      <formula1>商业基础设施水平</formula1>
    </dataValidation>
    <dataValidation type="list" allowBlank="1" showInputMessage="1" showErrorMessage="1" sqref="C35 E35 G35 I35" xr:uid="{1DD24985-B57C-475D-999C-DAB6A693D8FD}">
      <formula1>商业公共部分装修</formula1>
    </dataValidation>
    <dataValidation type="list" allowBlank="1" showInputMessage="1" showErrorMessage="1" sqref="C34 E34 G34 I34" xr:uid="{A3368E30-C4ED-4A70-BA9C-786DB2FA2569}">
      <formula1>商业建筑结构</formula1>
    </dataValidation>
    <dataValidation type="list" allowBlank="1" showInputMessage="1" showErrorMessage="1" sqref="C32 E32 G32 I32" xr:uid="{3EA3EB19-E1BB-4A61-804E-A8D7725C110C}">
      <formula1>商业类型</formula1>
    </dataValidation>
    <dataValidation type="list" allowBlank="1" showInputMessage="1" showErrorMessage="1" sqref="C28 E28 G28 I28" xr:uid="{7001FABB-E467-4CA7-9DEE-AB9CF5C60C94}">
      <formula1>商业楼层</formula1>
    </dataValidation>
    <dataValidation type="list" allowBlank="1" showInputMessage="1" showErrorMessage="1" sqref="C27 E27 G27 I27" xr:uid="{2174D683-A78D-4FD4-96FA-E4283744B2ED}">
      <formula1>商业人流量</formula1>
    </dataValidation>
    <dataValidation type="list" allowBlank="1" showInputMessage="1" showErrorMessage="1" sqref="C25 E25 G25 I25" xr:uid="{0D4958F7-4D59-425F-8903-A8939330007C}">
      <formula1>商业临街状况</formula1>
    </dataValidation>
    <dataValidation type="list" allowBlank="1" showInputMessage="1" showErrorMessage="1" sqref="C24 E24 G24 I24" xr:uid="{D6D0E8D3-D9C6-4F4B-A893-B6CCFC293BEF}">
      <formula1>环境</formula1>
    </dataValidation>
    <dataValidation type="list" allowBlank="1" showInputMessage="1" showErrorMessage="1" sqref="C22 E22 G22 I22" xr:uid="{9313D3F2-C9D8-45FD-B4EB-67664F75BC0C}">
      <formula1>基础设施水平</formula1>
    </dataValidation>
    <dataValidation type="list" allowBlank="1" showInputMessage="1" showErrorMessage="1" sqref="C20 E20 G20 I20" xr:uid="{5B1BCC1D-AE6E-4C97-AE76-0B41C9C645A9}">
      <formula1>公共配套设施</formula1>
    </dataValidation>
    <dataValidation type="list" allowBlank="1" showInputMessage="1" showErrorMessage="1" sqref="C18 E18 G18 I18" xr:uid="{5AD5C93F-D525-4010-AA2F-B1A0F33FEB72}">
      <formula1>交通便捷度</formula1>
    </dataValidation>
    <dataValidation type="list" allowBlank="1" showInputMessage="1" showErrorMessage="1" sqref="C16 E16 G16 I16" xr:uid="{0D49BD9B-C6E8-476F-98AB-E54EE52CD234}">
      <formula1>商业繁华度</formula1>
    </dataValidation>
    <dataValidation type="list" allowBlank="1" showInputMessage="1" showErrorMessage="1" sqref="E9 G9 I9" xr:uid="{68468F1A-B0B1-41FA-8B99-728ED2AF7623}">
      <formula1>商业用途</formula1>
    </dataValidation>
    <dataValidation type="list" allowBlank="1" showInputMessage="1" showErrorMessage="1" sqref="C8 E8 G8 I8" xr:uid="{85231A0B-CF7E-4012-8641-845CA323CC46}">
      <formula1>商业交易情况</formula1>
    </dataValidation>
    <dataValidation type="list" allowBlank="1" showInputMessage="1" showErrorMessage="1" sqref="F2" xr:uid="{C782E8A7-611E-4F87-8B8A-890A091622B0}">
      <formula1>估价方法</formula1>
    </dataValidation>
    <dataValidation type="list" allowBlank="1" showInputMessage="1" showErrorMessage="1" sqref="C2" xr:uid="{A973BEA2-1EA4-439D-BF13-BC92682130F9}">
      <formula1>"需扣减承租人权益,——"</formula1>
    </dataValidation>
    <dataValidation type="list" allowBlank="1" showInputMessage="1" showErrorMessage="1" sqref="F1" xr:uid="{52C0A0C0-559C-473F-ADA0-221EB8C2CD7A}">
      <formula1>"售价,租金"</formula1>
    </dataValidation>
    <dataValidation type="list" allowBlank="1" showInputMessage="1" showErrorMessage="1" sqref="E1" xr:uid="{BFB26483-95DF-46EA-AE78-A21E464C9287}">
      <formula1>"项目模式,单套模式"</formula1>
    </dataValidation>
    <dataValidation type="list" allowBlank="1" showInputMessage="1" showErrorMessage="1" sqref="D1" xr:uid="{26BFADC3-BFB3-4F82-915A-4D29519CCFC1}">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792F3-8E75-4293-8CE1-F47EE381CA46}">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986.96270000000004</v>
      </c>
      <c r="C2" s="1833" t="s">
        <v>1149</v>
      </c>
      <c r="D2" s="1834">
        <f ca="1">C40+J29+L46</f>
        <v>9869627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616609</v>
      </c>
      <c r="D5" s="1849" t="s">
        <v>1159</v>
      </c>
      <c r="E5" s="1850"/>
      <c r="F5" s="1851"/>
      <c r="G5" s="714"/>
      <c r="H5" s="1846">
        <v>1</v>
      </c>
      <c r="I5" s="1847" t="s">
        <v>1158</v>
      </c>
      <c r="J5" s="1848">
        <f ca="1">J6+J10+J12</f>
        <v>0</v>
      </c>
      <c r="K5" s="1849" t="s">
        <v>1159</v>
      </c>
      <c r="L5" s="1850"/>
      <c r="M5" s="1851"/>
    </row>
    <row r="6" spans="1:37" ht="18" customHeight="1">
      <c r="A6" s="1852" t="s">
        <v>905</v>
      </c>
      <c r="B6" s="3380" t="s">
        <v>1160</v>
      </c>
      <c r="C6" s="1853">
        <f ca="1">ROUND(F6*F8*F7*(1-F9),0)</f>
        <v>615839</v>
      </c>
      <c r="D6" s="1854" t="s">
        <v>1439</v>
      </c>
      <c r="E6" s="1855" t="s">
        <v>1162</v>
      </c>
      <c r="F6" s="1856">
        <f ca="1">INDIRECT("'数据-取费表'!u"&amp;$G$1)</f>
        <v>5</v>
      </c>
      <c r="G6" s="714"/>
      <c r="H6" s="1852" t="s">
        <v>905</v>
      </c>
      <c r="I6" s="3380" t="s">
        <v>1160</v>
      </c>
      <c r="J6" s="1926">
        <f ca="1">ROUND(M6*M8*M7*(1-M9),0)</f>
        <v>0</v>
      </c>
      <c r="K6" s="1996" t="s">
        <v>1440</v>
      </c>
      <c r="L6" s="1855" t="s">
        <v>1162</v>
      </c>
      <c r="M6" s="1856">
        <f ca="1">INDIRECT("'数据-取费表'!z"&amp;$G$1)</f>
        <v>0</v>
      </c>
    </row>
    <row r="7" spans="1:37" ht="18" customHeight="1">
      <c r="A7" s="1857"/>
      <c r="B7" s="3381"/>
      <c r="C7" s="1858"/>
      <c r="D7" s="1859"/>
      <c r="E7" s="1860" t="s">
        <v>1164</v>
      </c>
      <c r="F7" s="1856">
        <f ca="1">IF(INDIRECT("'数据-取费表'!ah"&amp;$G$1)="",INDIRECT("'数据-取费表'!k"&amp;$G$1),INDIRECT("'数据-取费表'!ah"&amp;$G$1))</f>
        <v>374.94</v>
      </c>
      <c r="G7" s="714"/>
      <c r="H7" s="1861"/>
      <c r="I7" s="3381"/>
      <c r="J7" s="1862"/>
      <c r="K7" s="1859"/>
      <c r="L7" s="1855" t="s">
        <v>1164</v>
      </c>
      <c r="M7" s="1856">
        <f ca="1">F7</f>
        <v>374.94</v>
      </c>
    </row>
    <row r="8" spans="1:37" ht="18" customHeight="1">
      <c r="A8" s="1861"/>
      <c r="B8" s="3381"/>
      <c r="C8" s="1862"/>
      <c r="D8" s="1859"/>
      <c r="E8" s="1855" t="s">
        <v>1165</v>
      </c>
      <c r="F8" s="1856">
        <f ca="1">INDIRECT("'数据-取费表'!ai"&amp;$G$1)</f>
        <v>365</v>
      </c>
      <c r="G8" s="714"/>
      <c r="H8" s="1861"/>
      <c r="I8" s="3381"/>
      <c r="J8" s="1862"/>
      <c r="K8" s="1859"/>
      <c r="L8" s="1855" t="s">
        <v>1165</v>
      </c>
      <c r="M8" s="1856">
        <f ca="1">INDIRECT("'数据-取费表'!ai"&amp;$G$1)</f>
        <v>365</v>
      </c>
    </row>
    <row r="9" spans="1:37" ht="18" customHeight="1">
      <c r="A9" s="1861"/>
      <c r="B9" s="3382"/>
      <c r="C9" s="1862"/>
      <c r="D9" s="1859"/>
      <c r="E9" s="1855" t="s">
        <v>1166</v>
      </c>
      <c r="F9" s="1863">
        <f ca="1">INDIRECT("'数据-取费表'!w"&amp;$G$1)</f>
        <v>0.1</v>
      </c>
      <c r="G9" s="714"/>
      <c r="H9" s="1861"/>
      <c r="I9" s="3382"/>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770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6564</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6564</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-6564</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55602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41056</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6564</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6166</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561007</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9752335</v>
      </c>
      <c r="D40" s="1914" t="s">
        <v>1227</v>
      </c>
      <c r="E40" s="1855" t="s">
        <v>1228</v>
      </c>
      <c r="F40" s="1863">
        <f ca="1">INDIRECT("'数据-取费表'!I"&amp;$G$1)</f>
        <v>5.5E-2</v>
      </c>
      <c r="G40" s="714"/>
      <c r="H40" s="1927">
        <f ca="1">C39/C5</f>
        <v>0.90982616212218759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-987.02880000000005</v>
      </c>
      <c r="D45" s="1941" t="s">
        <v>1446</v>
      </c>
      <c r="E45" s="1937"/>
      <c r="F45" s="1937"/>
      <c r="O45" s="2021" t="s">
        <v>1246</v>
      </c>
      <c r="P45" s="1927"/>
      <c r="Q45" s="1927"/>
      <c r="R45" s="1927"/>
    </row>
    <row r="46" spans="1:18" s="714" customFormat="1" ht="13.8" thickBot="1">
      <c r="A46" s="1942" t="s">
        <v>1247</v>
      </c>
      <c r="C46" s="1943">
        <f ca="1">ROUND(C45,0)</f>
        <v>-987</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9752335</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8"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7920942</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78" t="s">
        <v>1284</v>
      </c>
      <c r="L53" s="3379"/>
      <c r="O53" s="2033" t="s">
        <v>1109</v>
      </c>
      <c r="P53" s="2034" t="s">
        <v>1285</v>
      </c>
      <c r="Q53" s="2070">
        <f ca="1">Q47+Q48</f>
        <v>9869627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9752335</v>
      </c>
      <c r="R56" s="2070" t="s">
        <v>1256</v>
      </c>
    </row>
    <row r="57" spans="1:18" s="714" customFormat="1" ht="24.6"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8380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9752335</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6564</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9752335</v>
      </c>
      <c r="R65" s="2070" t="s">
        <v>1256</v>
      </c>
    </row>
    <row r="66" spans="1:18" s="714" customFormat="1" ht="16.2"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6" thickBot="1">
      <c r="A67" s="1972" t="s">
        <v>1219</v>
      </c>
      <c r="B67" s="2072" t="s">
        <v>1220</v>
      </c>
      <c r="C67" s="1468">
        <f ca="1">C48-C58</f>
        <v>-8380</v>
      </c>
      <c r="D67" s="1984" t="s">
        <v>1221</v>
      </c>
      <c r="E67" s="2073"/>
      <c r="F67" s="2074"/>
      <c r="O67" s="2041" t="s">
        <v>1267</v>
      </c>
      <c r="P67" s="2034" t="s">
        <v>1298</v>
      </c>
      <c r="Q67" s="2094">
        <f ca="1">L51</f>
        <v>7920942</v>
      </c>
      <c r="R67" s="2070" t="s">
        <v>1315</v>
      </c>
    </row>
    <row r="68" spans="1:18" s="714" customFormat="1" ht="16.2" thickBot="1">
      <c r="A68" s="2075" t="s">
        <v>1225</v>
      </c>
      <c r="B68" s="2076" t="s">
        <v>1242</v>
      </c>
      <c r="C68" s="1926">
        <f ca="1">ROUND(C67*(1-((1+F70)/(1+F68))^F69)/(F68-F70),0)</f>
        <v>-117953</v>
      </c>
      <c r="D68" s="1987" t="s">
        <v>1227</v>
      </c>
      <c r="E68" s="1977" t="s">
        <v>1228</v>
      </c>
      <c r="F68" s="1863">
        <f ca="1">F40</f>
        <v>5.5E-2</v>
      </c>
      <c r="O68" s="2041" t="s">
        <v>1271</v>
      </c>
      <c r="P68" s="2093" t="s">
        <v>1316</v>
      </c>
      <c r="Q68" s="2070">
        <f ca="1">ROUND(Q69-Q70*Q71,0)</f>
        <v>433883</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561007</v>
      </c>
      <c r="R69" s="2070" t="s">
        <v>1256</v>
      </c>
    </row>
    <row r="70" spans="1:18" s="714" customFormat="1" ht="13.8" thickBot="1">
      <c r="A70" s="2080"/>
      <c r="B70" s="2081"/>
      <c r="C70" s="1881"/>
      <c r="D70" s="1989"/>
      <c r="E70" s="1977" t="s">
        <v>1235</v>
      </c>
      <c r="F70" s="1967"/>
      <c r="O70" s="2041" t="s">
        <v>1320</v>
      </c>
      <c r="P70" s="2093" t="s">
        <v>1321</v>
      </c>
      <c r="Q70" s="2070">
        <f ca="1">C13</f>
        <v>1816052</v>
      </c>
      <c r="R70" s="2070" t="s">
        <v>1256</v>
      </c>
    </row>
    <row r="71" spans="1:18" s="714" customFormat="1" ht="13.8" thickBot="1">
      <c r="A71" s="2082" t="s">
        <v>1237</v>
      </c>
      <c r="B71" s="2083" t="s">
        <v>1243</v>
      </c>
      <c r="C71" s="1933">
        <f ca="1">ROUND(C68/F71,0)</f>
        <v>-315</v>
      </c>
      <c r="D71" s="2084" t="s">
        <v>1244</v>
      </c>
      <c r="E71" s="2085" t="s">
        <v>1245</v>
      </c>
      <c r="F71" s="1936">
        <f ca="1">F43</f>
        <v>374.94</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127124</v>
      </c>
      <c r="D75" s="714"/>
      <c r="E75" s="714"/>
      <c r="F75" s="714"/>
      <c r="K75" s="2020"/>
      <c r="L75" s="714"/>
      <c r="O75" s="2033" t="s">
        <v>1109</v>
      </c>
      <c r="P75" s="2034" t="s">
        <v>1285</v>
      </c>
      <c r="Q75" s="2070">
        <f ca="1">Q65+Q66</f>
        <v>9752335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B69CCAFC-D0D9-4531-95B8-FC8C6D17AC5B}">
      <formula1>估价范围判定</formula1>
    </dataValidation>
    <dataValidation type="list" allowBlank="1" showInputMessage="1" showErrorMessage="1" sqref="L55" xr:uid="{13E8BBC3-3915-4241-B2C2-F629FDA512D5}">
      <formula1>"比较法,基准地价,收益还原"</formula1>
    </dataValidation>
    <dataValidation type="list" allowBlank="1" showInputMessage="1" showErrorMessage="1" sqref="J48" xr:uid="{6BED40B9-9EF5-48A7-9BD5-9D503F94AD2F}">
      <formula1>"非生产用房,生产用房,受腐蚀的生产用房"</formula1>
    </dataValidation>
    <dataValidation type="list" allowBlank="1" showInputMessage="1" showErrorMessage="1" sqref="J47" xr:uid="{64AEFBEF-0131-4DBF-806B-500D8EAECBA2}">
      <formula1>"钢,钢混,砖混"</formula1>
    </dataValidation>
    <dataValidation type="list" allowBlank="1" showInputMessage="1" showErrorMessage="1" sqref="D33 D61" xr:uid="{84FC4256-FA6E-49CC-9E57-49BE9A55B886}">
      <formula1>"按租金收入计税,按房产原值计税,按票据"</formula1>
    </dataValidation>
    <dataValidation type="list" allowBlank="1" showInputMessage="1" showErrorMessage="1" sqref="K19" xr:uid="{292A98DE-C4E3-4A60-8C88-39FE17A469F9}">
      <formula1>"按租金收入计税,按房产原值计税"</formula1>
    </dataValidation>
    <dataValidation type="list" allowBlank="1" showInputMessage="1" showErrorMessage="1" sqref="F10 M10 F53" xr:uid="{8D9AB0B7-4A02-4D11-9E6B-9EDD0DD73678}">
      <formula1>"押一,押二,押三,自定义"</formula1>
    </dataValidation>
    <dataValidation type="list" allowBlank="1" showInputMessage="1" showErrorMessage="1" sqref="D1" xr:uid="{4B265337-AEA6-45FE-8355-F38E30C8AD9A}">
      <formula1>"在建（套用方法）,土地（套用方法）,——"</formula1>
    </dataValidation>
    <dataValidation type="list" allowBlank="1" showInputMessage="1" showErrorMessage="1" sqref="C1" xr:uid="{6D8B7923-C01E-4227-B82F-969BFC5EDB2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667E-7B90-4F85-8C23-1D4FA134598B}">
  <sheetPr codeName="Sheet49">
    <tabColor rgb="FFFF0000"/>
  </sheetPr>
  <dimension ref="A1:AJ512"/>
  <sheetViews>
    <sheetView view="pageBreakPreview" zoomScaleNormal="100" zoomScaleSheetLayoutView="100" zoomScalePageLayoutView="80" workbookViewId="0">
      <selection activeCell="G9" sqref="G9"/>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281" t="str">
        <f>项目基本情况!S2</f>
        <v>北京市朝阳区西大望路15号3号楼6层604房地产</v>
      </c>
      <c r="B2" s="3282"/>
      <c r="C2" s="3282"/>
      <c r="D2" s="3282"/>
      <c r="E2" s="3282"/>
      <c r="F2" s="3282"/>
      <c r="G2" s="3282"/>
      <c r="H2" s="3282"/>
      <c r="I2" s="3283"/>
    </row>
    <row r="3" spans="1:12" ht="13.2">
      <c r="A3" s="3284" t="s">
        <v>780</v>
      </c>
      <c r="B3" s="3285"/>
      <c r="C3" s="3285"/>
      <c r="D3" s="3285"/>
      <c r="E3" s="3285"/>
      <c r="F3" s="3285"/>
      <c r="G3" s="3285"/>
      <c r="H3" s="3285"/>
      <c r="I3" s="3285"/>
    </row>
    <row r="4" spans="1:12" ht="14.4">
      <c r="A4" s="2119" t="s">
        <v>781</v>
      </c>
      <c r="B4" s="2120" t="s">
        <v>782</v>
      </c>
      <c r="C4" s="2121" t="s">
        <v>2860</v>
      </c>
      <c r="D4" s="2121" t="s">
        <v>2863</v>
      </c>
      <c r="E4" s="3286" t="s">
        <v>783</v>
      </c>
      <c r="F4" s="3287"/>
      <c r="G4" s="3287"/>
      <c r="H4" s="3287"/>
      <c r="I4" s="3288"/>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331" t="s">
        <v>784</v>
      </c>
      <c r="B5" s="3369">
        <v>25</v>
      </c>
      <c r="C5" s="3301"/>
      <c r="D5" s="3300"/>
      <c r="E5" s="1895" t="s">
        <v>785</v>
      </c>
      <c r="F5" s="2125"/>
      <c r="G5" s="2125"/>
      <c r="H5" s="2125"/>
      <c r="I5" s="2249"/>
    </row>
    <row r="6" spans="1:12" ht="13.2">
      <c r="A6" s="3331"/>
      <c r="B6" s="3369"/>
      <c r="C6" s="3302"/>
      <c r="D6" s="3300"/>
      <c r="E6" s="1895" t="s">
        <v>786</v>
      </c>
      <c r="F6" s="2125"/>
      <c r="G6" s="2125"/>
      <c r="H6" s="2125"/>
      <c r="I6" s="2249"/>
    </row>
    <row r="7" spans="1:12" ht="13.2">
      <c r="A7" s="3331"/>
      <c r="B7" s="3369"/>
      <c r="C7" s="3303"/>
      <c r="D7" s="3300"/>
      <c r="E7" s="1895" t="s">
        <v>787</v>
      </c>
      <c r="F7" s="2125"/>
      <c r="G7" s="2125"/>
      <c r="H7" s="2125"/>
      <c r="I7" s="2249"/>
    </row>
    <row r="8" spans="1:12" ht="13.2">
      <c r="A8" s="3331" t="s">
        <v>788</v>
      </c>
      <c r="B8" s="3369">
        <v>15</v>
      </c>
      <c r="C8" s="3301"/>
      <c r="D8" s="3300"/>
      <c r="E8" s="1895" t="s">
        <v>789</v>
      </c>
      <c r="F8" s="2125"/>
      <c r="G8" s="2125"/>
      <c r="H8" s="2125"/>
      <c r="I8" s="2249"/>
    </row>
    <row r="9" spans="1:12" ht="13.2">
      <c r="A9" s="3331"/>
      <c r="B9" s="3369"/>
      <c r="C9" s="3303"/>
      <c r="D9" s="3300"/>
      <c r="E9" s="1895" t="s">
        <v>790</v>
      </c>
      <c r="F9" s="2125"/>
      <c r="G9" s="2125"/>
      <c r="H9" s="2125"/>
      <c r="I9" s="2249"/>
    </row>
    <row r="10" spans="1:12" ht="13.2">
      <c r="A10" s="3331" t="s">
        <v>791</v>
      </c>
      <c r="B10" s="3369">
        <v>15</v>
      </c>
      <c r="C10" s="3301"/>
      <c r="D10" s="3300"/>
      <c r="E10" s="1895" t="s">
        <v>792</v>
      </c>
      <c r="F10" s="2125"/>
      <c r="G10" s="2125"/>
      <c r="H10" s="2125"/>
      <c r="I10" s="2249"/>
    </row>
    <row r="11" spans="1:12" ht="13.2">
      <c r="A11" s="3331"/>
      <c r="B11" s="3369"/>
      <c r="C11" s="3303"/>
      <c r="D11" s="3300"/>
      <c r="E11" s="1895" t="s">
        <v>793</v>
      </c>
      <c r="F11" s="2125"/>
      <c r="G11" s="2125"/>
      <c r="H11" s="2125"/>
      <c r="I11" s="2249"/>
    </row>
    <row r="12" spans="1:12" ht="13.2">
      <c r="A12" s="3331" t="s">
        <v>794</v>
      </c>
      <c r="B12" s="3369">
        <v>15</v>
      </c>
      <c r="C12" s="3301"/>
      <c r="D12" s="3300"/>
      <c r="E12" s="1895" t="s">
        <v>795</v>
      </c>
      <c r="F12" s="2125"/>
      <c r="G12" s="2125"/>
      <c r="H12" s="2125"/>
      <c r="I12" s="2249"/>
    </row>
    <row r="13" spans="1:12" ht="13.2">
      <c r="A13" s="3331"/>
      <c r="B13" s="3369"/>
      <c r="C13" s="3303"/>
      <c r="D13" s="3300"/>
      <c r="E13" s="1895" t="s">
        <v>796</v>
      </c>
      <c r="F13" s="2125"/>
      <c r="G13" s="2125"/>
      <c r="H13" s="2125"/>
      <c r="I13" s="2249"/>
    </row>
    <row r="14" spans="1:12" ht="13.2">
      <c r="A14" s="3331" t="s">
        <v>797</v>
      </c>
      <c r="B14" s="3369">
        <v>30</v>
      </c>
      <c r="C14" s="3301">
        <v>7</v>
      </c>
      <c r="D14" s="3300">
        <v>3</v>
      </c>
      <c r="E14" s="1895" t="s">
        <v>798</v>
      </c>
      <c r="F14" s="2125"/>
      <c r="G14" s="2125"/>
      <c r="H14" s="2125"/>
      <c r="I14" s="2249"/>
    </row>
    <row r="15" spans="1:12" ht="13.2">
      <c r="A15" s="3331"/>
      <c r="B15" s="3369"/>
      <c r="C15" s="3302"/>
      <c r="D15" s="3300"/>
      <c r="E15" s="1895" t="s">
        <v>799</v>
      </c>
      <c r="F15" s="2125"/>
      <c r="G15" s="2125"/>
      <c r="H15" s="2125"/>
      <c r="I15" s="2249"/>
    </row>
    <row r="16" spans="1:12" ht="13.2">
      <c r="A16" s="3331"/>
      <c r="B16" s="3369"/>
      <c r="C16" s="3303"/>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289" t="s">
        <v>805</v>
      </c>
      <c r="F18" s="3290"/>
      <c r="G18" s="3290"/>
      <c r="H18" s="3290"/>
      <c r="I18" s="3290"/>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806</v>
      </c>
      <c r="B19" s="2132" t="s">
        <v>807</v>
      </c>
      <c r="C19" s="2133">
        <f ca="1">SUMIF(INDIRECT("'"&amp;C4&amp;"'"&amp;"!A:A"),结果表112!B19,INDIRECT("'"&amp;C4&amp;"'"&amp;"!B:B"))</f>
        <v>1209.4065000000001</v>
      </c>
      <c r="D19" s="1245">
        <f ca="1">SUMIF(INDIRECT("'"&amp;D4&amp;"'"&amp;"!A:A"),结果表112!B19,INDIRECT("'"&amp;D4&amp;"'"&amp;"!B:B"))</f>
        <v>986.96270000000004</v>
      </c>
      <c r="E19" s="1129" t="s">
        <v>808</v>
      </c>
      <c r="F19" s="2132" t="s">
        <v>807</v>
      </c>
      <c r="G19" s="2134">
        <f ca="1">ROUND(C19*$C$18+D19*$D$18,0)</f>
        <v>1143</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SUMIF(INDIRECT("'"&amp;C4&amp;"'"&amp;"!A:A"),结果表112!B20,INDIRECT("'"&amp;C4&amp;"'"&amp;"!B:B"))</f>
        <v>32256</v>
      </c>
      <c r="D20" s="1602">
        <f ca="1">SUMIF(INDIRECT("'"&amp;D4&amp;"'"&amp;"!A:A"),结果表112!B20,INDIRECT("'"&amp;D4&amp;"'"&amp;"!B:B"))</f>
        <v>26323</v>
      </c>
      <c r="E20" s="2136"/>
      <c r="F20" s="2137" t="s">
        <v>810</v>
      </c>
      <c r="G20" s="2138">
        <f ca="1">ROUND(C20*$C$18+D20*$D$18,0)</f>
        <v>30476</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0.22538217503052538</v>
      </c>
      <c r="E22" s="1458"/>
      <c r="F22" s="1458"/>
      <c r="G22" s="1458"/>
      <c r="H22" s="1458"/>
      <c r="I22" s="1458"/>
    </row>
    <row r="23" spans="1:36" ht="13.8" thickBot="1">
      <c r="A23" s="1998"/>
      <c r="B23" s="1998"/>
      <c r="C23" s="1998"/>
      <c r="D23" s="1998"/>
      <c r="E23" s="1458"/>
      <c r="F23" s="1458"/>
      <c r="G23" s="1458"/>
      <c r="H23" s="1458"/>
      <c r="I23" s="1458"/>
    </row>
    <row r="24" spans="1:36" ht="14.4">
      <c r="A24" s="3362" t="s">
        <v>814</v>
      </c>
      <c r="B24" s="2132" t="s">
        <v>807</v>
      </c>
      <c r="C24" s="2134">
        <f>IF(B30=0,0,D30)</f>
        <v>0</v>
      </c>
      <c r="D24" s="2148"/>
      <c r="E24" s="1458"/>
      <c r="F24" s="1458"/>
      <c r="G24" s="1458"/>
      <c r="H24" s="1458"/>
      <c r="I24" s="1458"/>
    </row>
    <row r="25" spans="1:36" ht="14.4">
      <c r="A25" s="3363"/>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30476</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23284</v>
      </c>
      <c r="D34" s="2169">
        <f ca="1">IF(C33="自定义",ROUND(C34/C32,3),IF(C33="收益比率",SUMIF(INDIRECT("'"&amp;D33&amp;"'"&amp;"!b:b"),"土地收益比率",INDIRECT("'"&amp;D33&amp;"'"&amp;"!c:c")),SUMIF(INDIRECT("'"&amp;D33&amp;"'"&amp;"!b:b"),"土地成本比率",INDIRECT("'"&amp;D33&amp;"'"&amp;"!c:c"))))</f>
        <v>0.76400000000000001</v>
      </c>
      <c r="E34" s="2170" t="s">
        <v>827</v>
      </c>
      <c r="F34" s="2171"/>
      <c r="G34" s="1458"/>
      <c r="H34" s="1458"/>
      <c r="I34" s="1458"/>
    </row>
    <row r="35" spans="1:15" ht="15" thickBot="1">
      <c r="A35" s="2172"/>
      <c r="B35" s="2173" t="s">
        <v>828</v>
      </c>
      <c r="C35" s="2174">
        <f ca="1">IF(C33="自定义",F35,ROUND(C32*D35,0))</f>
        <v>7192</v>
      </c>
      <c r="D35" s="2175">
        <f ca="1">IF(C33="自定义",ROUND(C35/C32,3),IF(C33="收益比率",SUMIF(INDIRECT("'"&amp;D33&amp;"'"&amp;"!b:b"),"建筑物收益比率",INDIRECT("'"&amp;D33&amp;"'"&amp;"!c:c")),SUMIF(INDIRECT("'"&amp;D33&amp;"'"&amp;"!b:b"),"建筑物成本比率",INDIRECT("'"&amp;D33&amp;"'"&amp;"!c:c"))))</f>
        <v>0.23599999999999999</v>
      </c>
      <c r="E35" s="2176" t="s">
        <v>829</v>
      </c>
      <c r="F35" s="2177"/>
      <c r="G35" s="1458"/>
      <c r="H35" s="1458"/>
      <c r="I35" s="1458"/>
    </row>
    <row r="36" spans="1:15" ht="15" thickBot="1">
      <c r="A36" s="3364" t="s">
        <v>830</v>
      </c>
      <c r="B36" s="2178" t="s">
        <v>831</v>
      </c>
      <c r="C36" s="2179"/>
      <c r="D36" s="2180"/>
      <c r="E36" s="2181"/>
      <c r="F36" s="2182"/>
      <c r="G36" s="1458"/>
      <c r="H36" s="1458"/>
      <c r="I36" s="1458"/>
    </row>
    <row r="37" spans="1:15" ht="15" thickBot="1">
      <c r="A37" s="3365"/>
      <c r="B37" s="2183" t="s">
        <v>832</v>
      </c>
      <c r="C37" s="2184"/>
      <c r="D37" s="2185"/>
      <c r="E37" s="2185"/>
      <c r="F37" s="2182"/>
      <c r="G37" s="1458"/>
      <c r="H37" s="1458"/>
      <c r="I37" s="1458"/>
    </row>
    <row r="38" spans="1:15" ht="15" thickBot="1">
      <c r="A38" s="3366"/>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291" t="s">
        <v>841</v>
      </c>
      <c r="B45" s="3292"/>
      <c r="C45" s="3293"/>
      <c r="D45" s="2204">
        <f ca="1">ROUND(H101*F45,4)</f>
        <v>474</v>
      </c>
      <c r="E45" s="2205" t="s">
        <v>842</v>
      </c>
      <c r="F45" s="2206">
        <v>1</v>
      </c>
      <c r="G45" s="1865" t="s">
        <v>843</v>
      </c>
      <c r="H45" s="1458"/>
      <c r="I45" s="1458"/>
      <c r="J45" s="3294" t="s">
        <v>844</v>
      </c>
      <c r="K45" s="3294"/>
      <c r="L45" s="3294"/>
      <c r="M45" s="3294"/>
      <c r="N45" s="3294"/>
      <c r="O45" s="3294"/>
    </row>
    <row r="46" spans="1:15" ht="14.25" customHeight="1">
      <c r="A46" s="3295" t="s">
        <v>845</v>
      </c>
      <c r="B46" s="3296"/>
      <c r="C46" s="3296"/>
      <c r="D46" s="3296"/>
      <c r="E46" s="3296"/>
      <c r="F46" s="3296"/>
      <c r="G46" s="3297"/>
      <c r="H46" s="2207"/>
      <c r="I46" s="1459"/>
      <c r="J46" s="576">
        <v>1</v>
      </c>
      <c r="K46" s="3298" t="s">
        <v>846</v>
      </c>
      <c r="L46" s="3298"/>
      <c r="M46" s="3299"/>
      <c r="N46" s="3299"/>
      <c r="O46" s="3299"/>
    </row>
    <row r="47" spans="1:15" ht="12" customHeight="1">
      <c r="A47" s="2208" t="s">
        <v>847</v>
      </c>
      <c r="B47" s="2209"/>
      <c r="C47" s="2210"/>
      <c r="D47" s="1904" t="s">
        <v>848</v>
      </c>
      <c r="E47" s="1855" t="s">
        <v>849</v>
      </c>
      <c r="F47" s="2211" t="s">
        <v>850</v>
      </c>
      <c r="G47" s="2212" t="s">
        <v>851</v>
      </c>
      <c r="H47" s="2213"/>
      <c r="I47" s="1459"/>
      <c r="J47" s="576">
        <v>2</v>
      </c>
      <c r="K47" s="3298" t="s">
        <v>852</v>
      </c>
      <c r="L47" s="3298"/>
      <c r="M47" s="3304">
        <f>'数据-取费表'!B2</f>
        <v>45839</v>
      </c>
      <c r="N47" s="3304"/>
      <c r="O47" s="3304"/>
    </row>
    <row r="48" spans="1:15" ht="39.6">
      <c r="A48" s="3305" t="s">
        <v>853</v>
      </c>
      <c r="B48" s="3306"/>
      <c r="C48" s="3306"/>
      <c r="D48" s="2005">
        <f ca="1">IF(H48="情况1",0,IF(H48="情况2",D52,IF(H48="情况3",D53,IF(H48="情况4",D54))))</f>
        <v>24.828600000000002</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298" t="s">
        <v>856</v>
      </c>
      <c r="L48" s="3298"/>
      <c r="M48" s="3307">
        <f ca="1">H101</f>
        <v>474</v>
      </c>
      <c r="N48" s="3307"/>
      <c r="O48" s="3307"/>
    </row>
    <row r="49" spans="1:35" ht="25.5" customHeight="1">
      <c r="A49" s="2214" t="s">
        <v>857</v>
      </c>
      <c r="B49" s="3308" t="s">
        <v>858</v>
      </c>
      <c r="C49" s="3308"/>
      <c r="D49" s="2218">
        <v>0</v>
      </c>
      <c r="E49" s="1914" t="s">
        <v>859</v>
      </c>
      <c r="F49" s="2219" t="s">
        <v>124</v>
      </c>
      <c r="G49" s="3314"/>
      <c r="H49" s="2220" t="s">
        <v>860</v>
      </c>
      <c r="I49" s="2255"/>
      <c r="J49" s="576">
        <v>4</v>
      </c>
      <c r="K49" s="3298" t="str">
        <f>IF(项目基本情况!E8="房地产抵押价值","房地产抵押价值","抵押担保权已注销时的房地产抵押价值")</f>
        <v>房地产抵押价值</v>
      </c>
      <c r="L49" s="3298"/>
      <c r="M49" s="3307">
        <f ca="1">IF(项目基本情况!E8="房地产抵押价值",H107,H109)</f>
        <v>474</v>
      </c>
      <c r="N49" s="3307"/>
      <c r="O49" s="3307"/>
    </row>
    <row r="50" spans="1:35" ht="25.5" customHeight="1">
      <c r="A50" s="2221"/>
      <c r="B50" s="3308" t="s">
        <v>861</v>
      </c>
      <c r="C50" s="3308"/>
      <c r="D50" s="2222"/>
      <c r="E50" s="1929"/>
      <c r="F50" s="2219"/>
      <c r="G50" s="3315"/>
      <c r="H50" s="2223" t="s">
        <v>862</v>
      </c>
      <c r="I50" s="2255"/>
      <c r="J50" s="3294" t="s">
        <v>863</v>
      </c>
      <c r="K50" s="3294"/>
      <c r="L50" s="3294"/>
      <c r="M50" s="3294"/>
      <c r="N50" s="3294"/>
      <c r="O50" s="3294"/>
    </row>
    <row r="51" spans="1:35" ht="20.399999999999999" customHeight="1">
      <c r="A51" s="2224"/>
      <c r="B51" s="3308" t="s">
        <v>864</v>
      </c>
      <c r="C51" s="3308"/>
      <c r="D51" s="1904"/>
      <c r="E51" s="1918"/>
      <c r="F51" s="2219"/>
      <c r="G51" s="3316"/>
      <c r="H51" s="2223" t="s">
        <v>865</v>
      </c>
      <c r="I51" s="2255"/>
      <c r="J51" s="2254" t="s">
        <v>866</v>
      </c>
      <c r="K51" s="3298" t="s">
        <v>867</v>
      </c>
      <c r="L51" s="3298"/>
      <c r="M51" s="2254" t="s">
        <v>868</v>
      </c>
      <c r="N51" s="2254" t="s">
        <v>869</v>
      </c>
      <c r="O51" s="2254" t="s">
        <v>870</v>
      </c>
    </row>
    <row r="52" spans="1:35" ht="24" customHeight="1">
      <c r="A52" s="2225" t="s">
        <v>871</v>
      </c>
      <c r="B52" s="3308" t="s">
        <v>872</v>
      </c>
      <c r="C52" s="3308"/>
      <c r="D52" s="1904">
        <f ca="1">ROUND(D45*'数据-取费表'!B41/(1+'数据-取费表'!C42),0)</f>
        <v>25</v>
      </c>
      <c r="E52" s="1908" t="s">
        <v>873</v>
      </c>
      <c r="F52" s="2226">
        <f>'数据-取费表'!B41</f>
        <v>5.5000000000000007E-2</v>
      </c>
      <c r="G52" s="2227"/>
      <c r="H52" s="2019"/>
      <c r="I52" s="2256"/>
      <c r="J52" s="576">
        <v>1</v>
      </c>
      <c r="K52" s="3310" t="s">
        <v>874</v>
      </c>
      <c r="L52" s="3310"/>
      <c r="M52" s="2257">
        <f ca="1">D48</f>
        <v>24.828600000000002</v>
      </c>
      <c r="N52" s="576" t="str">
        <f>E48</f>
        <v>(销售额-原购置价)×税（费）率</v>
      </c>
      <c r="O52" s="2258">
        <f>F48</f>
        <v>5.5000000000000007E-2</v>
      </c>
    </row>
    <row r="53" spans="1:35" ht="12" customHeight="1">
      <c r="A53" s="2225" t="s">
        <v>875</v>
      </c>
      <c r="B53" s="3311" t="s">
        <v>876</v>
      </c>
      <c r="C53" s="3312"/>
      <c r="D53" s="1904">
        <f ca="1">ROUND(D45*'数据-取费表'!B41/(1+'数据-取费表'!C42),0)</f>
        <v>25</v>
      </c>
      <c r="E53" s="1908" t="s">
        <v>873</v>
      </c>
      <c r="F53" s="2226">
        <f>'数据-取费表'!B41</f>
        <v>5.5000000000000007E-2</v>
      </c>
      <c r="G53" s="2227"/>
      <c r="H53" s="2019"/>
      <c r="I53" s="2256"/>
      <c r="J53" s="576">
        <v>2</v>
      </c>
      <c r="K53" s="3310" t="s">
        <v>877</v>
      </c>
      <c r="L53" s="3310"/>
      <c r="M53" s="2257">
        <f t="shared" ref="M53:O54" ca="1" si="0">D55</f>
        <v>0.23699999999999999</v>
      </c>
      <c r="N53" s="576" t="str">
        <f t="shared" si="0"/>
        <v>销售额×税（费）率</v>
      </c>
      <c r="O53" s="2258">
        <f t="shared" si="0"/>
        <v>5.0000000000000001E-4</v>
      </c>
    </row>
    <row r="54" spans="1:35" ht="12" customHeight="1">
      <c r="A54" s="2225" t="s">
        <v>878</v>
      </c>
      <c r="B54" s="3311" t="s">
        <v>879</v>
      </c>
      <c r="C54" s="3312"/>
      <c r="D54" s="1904">
        <f ca="1">C68</f>
        <v>24.828600000000002</v>
      </c>
      <c r="E54" s="1918" t="s">
        <v>880</v>
      </c>
      <c r="F54" s="2226">
        <f>'数据-取费表'!B41</f>
        <v>5.5000000000000007E-2</v>
      </c>
      <c r="G54" s="2227"/>
      <c r="H54" s="2228"/>
      <c r="I54" s="2256"/>
      <c r="J54" s="576">
        <v>3</v>
      </c>
      <c r="K54" s="3310" t="s">
        <v>881</v>
      </c>
      <c r="L54" s="3310"/>
      <c r="M54" s="2257">
        <f t="shared" ca="1" si="0"/>
        <v>268.71289999999999</v>
      </c>
      <c r="N54" s="576" t="str">
        <f t="shared" si="0"/>
        <v>增值额×税（费）率</v>
      </c>
      <c r="O54" s="2259" t="str">
        <f t="shared" si="0"/>
        <v>——</v>
      </c>
    </row>
    <row r="55" spans="1:35" ht="24" customHeight="1">
      <c r="A55" s="3313" t="s">
        <v>882</v>
      </c>
      <c r="B55" s="3306"/>
      <c r="C55" s="3306"/>
      <c r="D55" s="2229">
        <f ca="1">IF(H55="个人住宅",0,ROUND(D45*I55,4))</f>
        <v>0.23699999999999999</v>
      </c>
      <c r="E55" s="1908" t="s">
        <v>883</v>
      </c>
      <c r="F55" s="2226">
        <f>IF(H55="正常",I55,"免征")</f>
        <v>5.0000000000000001E-4</v>
      </c>
      <c r="G55" s="2227"/>
      <c r="H55" s="2217" t="s">
        <v>884</v>
      </c>
      <c r="I55" s="2260">
        <f>'数据-取费表'!B49</f>
        <v>5.0000000000000001E-4</v>
      </c>
      <c r="J55" s="576">
        <f>IF(H59="非个人房产","",4)</f>
        <v>4</v>
      </c>
      <c r="K55" s="3310" t="str">
        <f>IF(H59="非个人房产","——","个人所得税")</f>
        <v>个人所得税</v>
      </c>
      <c r="L55" s="3310"/>
      <c r="M55" s="2261">
        <f ca="1">D59</f>
        <v>4.74</v>
      </c>
      <c r="N55" s="557" t="str">
        <f>E59</f>
        <v>销售额×税（费）率</v>
      </c>
      <c r="O55" s="2262">
        <f>F59</f>
        <v>0.01</v>
      </c>
    </row>
    <row r="56" spans="1:35" ht="25.2">
      <c r="A56" s="3313" t="s">
        <v>885</v>
      </c>
      <c r="B56" s="3306"/>
      <c r="C56" s="3306"/>
      <c r="D56" s="2005">
        <f ca="1">IF(H56="个人住宅",D57,D58)</f>
        <v>268.71289999999999</v>
      </c>
      <c r="E56" s="1908" t="s">
        <v>886</v>
      </c>
      <c r="F56" s="2226" t="str">
        <f>IF(H56="正常",F58,"免征")</f>
        <v>——</v>
      </c>
      <c r="G56" s="2230" t="s">
        <v>887</v>
      </c>
      <c r="H56" s="2231" t="s">
        <v>884</v>
      </c>
      <c r="I56" s="2239"/>
      <c r="J56" s="576" t="str">
        <f>IF(项目基本情况!K6="上海银行",IF(J55="",4,J55+1),"")</f>
        <v/>
      </c>
      <c r="K56" s="3317" t="str">
        <f>IF(项目基本情况!K6="上海银行","其他处置费用","")</f>
        <v/>
      </c>
      <c r="L56" s="3318"/>
      <c r="M56" s="2257" t="str">
        <f>IF(项目基本情况!K6="上海银行",M69,"")</f>
        <v/>
      </c>
      <c r="N56" s="3317" t="str">
        <f>IF(项目基本情况!K6="上海银行","包含处置中涉及的律师、诉讼、拍卖、评估等费用","")</f>
        <v/>
      </c>
      <c r="O56" s="3319"/>
    </row>
    <row r="57" spans="1:35" ht="13.2">
      <c r="A57" s="2225" t="s">
        <v>857</v>
      </c>
      <c r="B57" s="3311" t="s">
        <v>888</v>
      </c>
      <c r="C57" s="3312"/>
      <c r="D57" s="2218">
        <v>0</v>
      </c>
      <c r="E57" s="1914" t="s">
        <v>859</v>
      </c>
      <c r="F57" s="1855"/>
      <c r="G57" s="2227"/>
      <c r="H57" s="2232"/>
      <c r="I57" s="2239"/>
      <c r="J57" s="3310">
        <f>IF(AND(J55="",J56=""),4,IF(项目基本情况!K6="上海银行",结果表112!J56+1,结果表112!J55+1))</f>
        <v>5</v>
      </c>
      <c r="K57" s="3310" t="s">
        <v>889</v>
      </c>
      <c r="L57" s="2264" t="s">
        <v>890</v>
      </c>
      <c r="M57" s="2265"/>
      <c r="N57" s="2266">
        <f ca="1">SUMIF(M52:M56,"&lt;9e307")</f>
        <v>298.51850000000002</v>
      </c>
      <c r="O57" s="2267"/>
      <c r="P57" s="2268">
        <f ca="1">N57/M49</f>
        <v>0.62978586497890299</v>
      </c>
    </row>
    <row r="58" spans="1:35" ht="25.2">
      <c r="A58" s="2225" t="s">
        <v>871</v>
      </c>
      <c r="B58" s="3311" t="s">
        <v>891</v>
      </c>
      <c r="C58" s="3308"/>
      <c r="D58" s="2005">
        <f ca="1">IF(H58="转让取得",C81,C97)</f>
        <v>268.71289999999999</v>
      </c>
      <c r="E58" s="1908" t="s">
        <v>886</v>
      </c>
      <c r="F58" s="1855" t="s">
        <v>124</v>
      </c>
      <c r="G58" s="2227"/>
      <c r="H58" s="2231" t="s">
        <v>892</v>
      </c>
      <c r="I58" s="2239"/>
      <c r="J58" s="3310"/>
      <c r="K58" s="3310"/>
      <c r="L58" s="2264" t="s">
        <v>893</v>
      </c>
      <c r="M58" s="2269"/>
      <c r="N58" s="2270" t="str">
        <f ca="1">NUMBERSTRING(INT(N57*10000),2)&amp;"元整"</f>
        <v>贰佰玖拾捌万伍仟壹佰捌拾伍元整</v>
      </c>
      <c r="O58" s="2271"/>
    </row>
    <row r="59" spans="1:35" ht="27" thickBot="1">
      <c r="A59" s="3320" t="s">
        <v>894</v>
      </c>
      <c r="B59" s="3321"/>
      <c r="C59" s="3321"/>
      <c r="D59" s="3177">
        <f ca="1">IF(H59="非个人房产","——",IF(H59="个人住宅（满五唯一有凭证）",0,IF(H59="个人其他（无凭证）",ROUND(D45*F59,4),ROUND(C67*F59,4))))</f>
        <v>4.74</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25">
        <f>J57+1</f>
        <v>6</v>
      </c>
      <c r="K59" s="3310" t="s">
        <v>896</v>
      </c>
      <c r="L59" s="576" t="s">
        <v>890</v>
      </c>
      <c r="M59" s="2273"/>
      <c r="N59" s="2274">
        <f ca="1">M49-N57</f>
        <v>175.48149999999998</v>
      </c>
      <c r="O59" s="2275"/>
    </row>
    <row r="60" spans="1:35" ht="12" customHeight="1">
      <c r="A60" s="2237"/>
      <c r="B60" s="1998"/>
      <c r="C60" s="1998"/>
      <c r="D60" s="1998"/>
      <c r="E60" s="2238"/>
      <c r="F60" s="2239"/>
      <c r="G60" s="2239"/>
      <c r="H60" s="1459"/>
      <c r="I60" s="1458"/>
      <c r="J60" s="3326"/>
      <c r="K60" s="3310"/>
      <c r="L60" s="2264" t="s">
        <v>893</v>
      </c>
      <c r="M60" s="2269"/>
      <c r="N60" s="2270" t="str">
        <f ca="1">NUMBERSTRING(INT(N59*10000),2)&amp;"元整"</f>
        <v>壹佰柒拾伍万肆仟捌佰壹拾伍元整</v>
      </c>
      <c r="O60" s="2271"/>
    </row>
    <row r="61" spans="1:35" ht="13.8" thickBot="1">
      <c r="A61" s="3322" t="s">
        <v>897</v>
      </c>
      <c r="B61" s="3322"/>
      <c r="C61" s="3322"/>
      <c r="D61" s="3322"/>
      <c r="E61" s="3322"/>
      <c r="F61" s="2239"/>
      <c r="G61" s="2239"/>
      <c r="H61" s="1459"/>
      <c r="I61" s="1458"/>
      <c r="J61" s="576">
        <f>J59+1</f>
        <v>7</v>
      </c>
      <c r="K61" s="3310" t="s">
        <v>898</v>
      </c>
      <c r="L61" s="3310"/>
      <c r="M61" s="2276"/>
      <c r="N61" s="2488">
        <f ca="1">ROUND(N59*10000/'数据-汇总表'!E3,0)</f>
        <v>1981</v>
      </c>
      <c r="O61" s="2277"/>
    </row>
    <row r="62" spans="1:35" ht="13.2">
      <c r="A62" s="3323" t="s">
        <v>899</v>
      </c>
      <c r="B62" s="3324"/>
      <c r="C62" s="528"/>
      <c r="D62" s="528" t="s">
        <v>900</v>
      </c>
      <c r="E62" s="2240" t="s">
        <v>851</v>
      </c>
      <c r="F62" s="2239"/>
      <c r="G62" s="2239"/>
      <c r="H62" s="1459"/>
      <c r="I62" s="1458"/>
    </row>
    <row r="63" spans="1:35" ht="13.2">
      <c r="A63" s="2241" t="s">
        <v>901</v>
      </c>
      <c r="B63" s="586" t="s">
        <v>902</v>
      </c>
      <c r="C63" s="2242">
        <f ca="1">ROUND((C64+C65)/(1+'数据-取费表'!C42),4)</f>
        <v>451.42860000000002</v>
      </c>
      <c r="D63" s="586"/>
      <c r="E63" s="2243"/>
      <c r="F63" s="2239"/>
      <c r="G63" s="2239"/>
      <c r="H63" s="1459"/>
      <c r="I63" s="1458"/>
      <c r="J63" s="3309" t="s">
        <v>903</v>
      </c>
      <c r="K63" s="2278" t="s">
        <v>904</v>
      </c>
      <c r="L63" s="2278">
        <f ca="1">IF(M49&gt;10000,M49*0.5%,IF(AND(M49&gt;1000,M49&lt;=10000),M49*1%,IF(AND(M49&gt;100,M49&lt;=1000),M49*3%,IF(AND(M49&gt;10,M49&lt;=100),M49*5%,M49*8%))))</f>
        <v>14.219999999999999</v>
      </c>
      <c r="M63" s="1855">
        <f ca="1">ROUND(L63,1)</f>
        <v>14.2</v>
      </c>
      <c r="N63" s="2279"/>
      <c r="Z63" s="2113"/>
      <c r="AI63" s="2114"/>
    </row>
    <row r="64" spans="1:35" ht="14.25" customHeight="1">
      <c r="A64" s="2244" t="s">
        <v>905</v>
      </c>
      <c r="B64" s="509" t="s">
        <v>906</v>
      </c>
      <c r="C64" s="2245">
        <f ca="1">D45</f>
        <v>474</v>
      </c>
      <c r="D64" s="509" t="s">
        <v>124</v>
      </c>
      <c r="E64" s="2246"/>
      <c r="F64" s="2239"/>
      <c r="G64" s="2239"/>
      <c r="H64" s="1459"/>
      <c r="I64" s="1458"/>
      <c r="J64" s="3309"/>
      <c r="K64" s="2278" t="s">
        <v>907</v>
      </c>
      <c r="L64" s="2278">
        <f ca="1">IF(M49&gt;2000,M49*0.5%,IF(AND(M49&gt;1000,M49&lt;=2000),M49*0.6%,IF(AND(M49&gt;500,M49&lt;=1000),M49*0.7%,IF(AND(M49&gt;200,M49&lt;=500),M49*0.8%,IF(AND(M49&gt;100,M49&lt;=200),M49*0.9%,IF(AND(M49&gt;50,M49&lt;=100),M49*1%,IF(AND(M49&gt;20,M49&lt;=50),M49*1.5%,IF(AND(M49&gt;10,M49&lt;=20),M49*2%,IF(AND(M49&gt;1,M49&lt;=10),M49*2.5%)))))))))</f>
        <v>3.7920000000000003</v>
      </c>
      <c r="M64" s="1855">
        <f t="shared" ref="M64:M65" ca="1" si="1">ROUND(L64,1)</f>
        <v>3.8</v>
      </c>
      <c r="N64" s="2019" t="s">
        <v>908</v>
      </c>
      <c r="Z64" s="2113"/>
      <c r="AI64" s="2114"/>
    </row>
    <row r="65" spans="1:35" ht="14.25" customHeight="1">
      <c r="A65" s="2244" t="s">
        <v>909</v>
      </c>
      <c r="B65" s="509" t="s">
        <v>910</v>
      </c>
      <c r="C65" s="2281"/>
      <c r="D65" s="509"/>
      <c r="E65" s="2246"/>
      <c r="F65" s="2239"/>
      <c r="G65" s="2239"/>
      <c r="H65" s="1459"/>
      <c r="I65" s="1458"/>
      <c r="J65" s="3309"/>
      <c r="K65" s="2278" t="s">
        <v>911</v>
      </c>
      <c r="L65" s="2278">
        <f ca="1">IF(M49&gt;1000,M49*0.1%,IF(AND(M49&gt;500,M49&lt;=1000),M49*0.5%,IF(AND(M49&gt;50,M49&lt;=500),M49*1%,IF(AND(M49&gt;1,M49&lt;=50),M49*1.5%))))</f>
        <v>4.74</v>
      </c>
      <c r="M65" s="1855">
        <f t="shared" ca="1" si="1"/>
        <v>4.7</v>
      </c>
      <c r="N65" s="2019" t="s">
        <v>908</v>
      </c>
      <c r="Z65" s="2113"/>
      <c r="AI65" s="2114"/>
    </row>
    <row r="66" spans="1:35" ht="14.25" customHeight="1">
      <c r="A66" s="2241" t="s">
        <v>912</v>
      </c>
      <c r="B66" s="2282" t="s">
        <v>913</v>
      </c>
      <c r="C66" s="2283"/>
      <c r="D66" s="2282" t="s">
        <v>124</v>
      </c>
      <c r="E66" s="2284" t="s">
        <v>914</v>
      </c>
      <c r="F66" s="2239"/>
      <c r="G66" s="2239"/>
      <c r="H66" s="1459"/>
      <c r="I66" s="1458"/>
      <c r="J66" s="3309"/>
      <c r="K66" s="2278" t="s">
        <v>915</v>
      </c>
      <c r="L66" s="2278">
        <f ca="1">M49*0.5%</f>
        <v>2.37</v>
      </c>
      <c r="M66" s="1855">
        <f ca="1">IF(L66&gt;0.5,0.5,ROUND(L66,0))</f>
        <v>0.5</v>
      </c>
      <c r="N66" s="2019" t="s">
        <v>916</v>
      </c>
      <c r="Z66" s="2113"/>
      <c r="AI66" s="2114"/>
    </row>
    <row r="67" spans="1:35" ht="14.25" customHeight="1">
      <c r="A67" s="2241" t="s">
        <v>917</v>
      </c>
      <c r="B67" s="2282" t="s">
        <v>918</v>
      </c>
      <c r="C67" s="2285">
        <f ca="1">C63-C66</f>
        <v>451.42860000000002</v>
      </c>
      <c r="D67" s="509" t="s">
        <v>124</v>
      </c>
      <c r="E67" s="2246"/>
      <c r="F67" s="2239"/>
      <c r="G67" s="2239"/>
      <c r="H67" s="1459"/>
      <c r="I67" s="1458"/>
      <c r="J67" s="3309"/>
      <c r="K67" s="2278" t="s">
        <v>919</v>
      </c>
      <c r="L67" s="2278">
        <f ca="1">IF(M49&gt;=10000,(8.25+(M49-10000)*0.01%),IF(AND(M49&gt;=8000,M49&lt;10000),(7.85+(M49-8000)*0.02%),IF(AND(M49&gt;=5000,M49&lt;8000),(6.65+(M49-5000)*0.04%),IF(AND(M49&gt;=2000,M49&lt;5000),(4.25+(PM49-2000)*0.08%),IF(AND(M49&gt;=1000,M49&lt;2000),(2.75+(M49-1000)*0.15%),IF(AND(M49&gt;=100,M49&lt;1000),(0.5+(M49-100)*0.25%),IF(AND(M49&gt;0,M49&lt;100),M49*0.5%)))))))</f>
        <v>1.4350000000000001</v>
      </c>
      <c r="M67" s="1855">
        <f ca="1">ROUND(L67*0.9,1)</f>
        <v>1.3</v>
      </c>
      <c r="N67" s="2279"/>
      <c r="Z67" s="2113"/>
      <c r="AI67" s="2114"/>
    </row>
    <row r="68" spans="1:35" ht="14.25" customHeight="1" thickBot="1">
      <c r="A68" s="2286" t="s">
        <v>920</v>
      </c>
      <c r="B68" s="2287" t="s">
        <v>921</v>
      </c>
      <c r="C68" s="2288">
        <f ca="1">IF(C67&lt;=0,0,ROUND(C67*D68,4))</f>
        <v>24.828600000000002</v>
      </c>
      <c r="D68" s="771">
        <f>'数据-取费表'!B41</f>
        <v>5.5000000000000007E-2</v>
      </c>
      <c r="E68" s="2289"/>
      <c r="F68" s="2239"/>
      <c r="G68" s="2239"/>
      <c r="H68" s="1459"/>
      <c r="I68" s="1458"/>
      <c r="J68" s="3309"/>
      <c r="K68" s="2278" t="s">
        <v>922</v>
      </c>
      <c r="L68" s="2278">
        <f ca="1">IF(M49&gt;10000,M49*0.5%,IF(AND(M49&gt;5000,M49&lt;=10000),M49*1%,IF(AND(M49&gt;1000,M49&lt;=5000),M49*2%,IF(AND(M49&gt;200,M49&lt;=1000),M49*3%,M49*5%))))</f>
        <v>14.219999999999999</v>
      </c>
      <c r="M68" s="1855">
        <f ca="1">ROUND(L68,1)</f>
        <v>14.2</v>
      </c>
      <c r="N68" s="2279"/>
      <c r="Z68" s="2113"/>
      <c r="AI68" s="2114"/>
    </row>
    <row r="69" spans="1:35" ht="16.5" customHeight="1">
      <c r="A69" s="2290"/>
      <c r="B69" s="2291"/>
      <c r="C69" s="2292"/>
      <c r="D69" s="693"/>
      <c r="E69" s="2293"/>
      <c r="F69" s="2238"/>
      <c r="G69" s="2238"/>
      <c r="H69" s="2198"/>
      <c r="I69" s="1998"/>
      <c r="J69" s="3309"/>
      <c r="K69" s="2278" t="s">
        <v>923</v>
      </c>
      <c r="L69" s="2278"/>
      <c r="M69" s="1855">
        <f ca="1">ROUND(SUM(M63:M68),0)</f>
        <v>39</v>
      </c>
      <c r="N69" s="2358">
        <f ca="1">M69/M49</f>
        <v>8.2278481012658222E-2</v>
      </c>
      <c r="Z69" s="2113"/>
      <c r="AI69" s="2114"/>
    </row>
    <row r="70" spans="1:35" s="886" customFormat="1" ht="14.4" thickBot="1">
      <c r="A70" s="3347" t="s">
        <v>924</v>
      </c>
      <c r="B70" s="3348"/>
      <c r="C70" s="3348"/>
      <c r="D70" s="3348"/>
      <c r="E70" s="3348"/>
      <c r="F70" s="3348"/>
      <c r="G70" s="3348"/>
      <c r="H70" s="3348"/>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3" t="s">
        <v>899</v>
      </c>
      <c r="B71" s="3324"/>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451.42860000000002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2.2570999999999999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1" t="s">
        <v>935</v>
      </c>
      <c r="F76" s="3308"/>
      <c r="G76" s="3308"/>
      <c r="H76" s="3349"/>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2.2570999999999999</v>
      </c>
      <c r="D78" s="2310">
        <f>'数据-取费表'!B43</f>
        <v>5.000000000000001E-3</v>
      </c>
      <c r="E78" s="3350" t="s">
        <v>941</v>
      </c>
      <c r="F78" s="3351"/>
      <c r="G78" s="3351"/>
      <c r="H78" s="3352"/>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449.17150000000004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199.00381019892785</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268.71289999999999</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47" t="s">
        <v>946</v>
      </c>
      <c r="B83" s="3348"/>
      <c r="C83" s="3348"/>
      <c r="D83" s="3348"/>
      <c r="E83" s="3348"/>
      <c r="F83" s="3348"/>
      <c r="G83" s="3348"/>
      <c r="H83" s="3348"/>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3" t="s">
        <v>899</v>
      </c>
      <c r="B84" s="3324"/>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451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59" t="s">
        <v>954</v>
      </c>
      <c r="H90" s="3360"/>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0" t="s">
        <v>958</v>
      </c>
      <c r="F91" s="3351"/>
      <c r="G91" s="3351"/>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0" t="s">
        <v>961</v>
      </c>
      <c r="F92" s="3351"/>
      <c r="G92" s="3351"/>
      <c r="H92" s="3352"/>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50" t="s">
        <v>941</v>
      </c>
      <c r="F93" s="3351"/>
      <c r="G93" s="3351"/>
      <c r="H93" s="3352"/>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2" t="s">
        <v>966</v>
      </c>
      <c r="F94" s="3373"/>
      <c r="G94" s="3373"/>
      <c r="H94" s="3374"/>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449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224.5</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269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3" t="s">
        <v>968</v>
      </c>
      <c r="B100" s="3274"/>
      <c r="C100" s="3274"/>
      <c r="D100" s="3335"/>
      <c r="E100" s="3274" t="s">
        <v>969</v>
      </c>
      <c r="F100" s="3274"/>
      <c r="G100" s="3274"/>
      <c r="H100" s="3335"/>
      <c r="I100" s="1458"/>
    </row>
    <row r="101" spans="1:35" ht="18.75" customHeight="1">
      <c r="A101" s="3336" t="s">
        <v>970</v>
      </c>
      <c r="B101" s="3337"/>
      <c r="C101" s="2334" t="str">
        <f>C4</f>
        <v>比较法-商业2</v>
      </c>
      <c r="D101" s="2335" t="str">
        <f>D4</f>
        <v>收益法2</v>
      </c>
      <c r="E101" s="3358" t="s">
        <v>971</v>
      </c>
      <c r="F101" s="3354"/>
      <c r="G101" s="2337" t="s">
        <v>972</v>
      </c>
      <c r="H101" s="2338">
        <f ca="1">H118</f>
        <v>474</v>
      </c>
      <c r="I101" s="1458"/>
    </row>
    <row r="102" spans="1:35" ht="18.75" customHeight="1">
      <c r="A102" s="3367" t="s">
        <v>973</v>
      </c>
      <c r="B102" s="2339" t="s">
        <v>972</v>
      </c>
      <c r="C102" s="2334">
        <f ca="1">IF(D32="楼面单价",ROUND(C19,0),C19)</f>
        <v>1209</v>
      </c>
      <c r="D102" s="2335">
        <f ca="1">IF(D32="楼面单价",ROUND(D19,0),D19)</f>
        <v>987</v>
      </c>
      <c r="E102" s="3358"/>
      <c r="F102" s="3354"/>
      <c r="G102" s="2337" t="s">
        <v>99</v>
      </c>
      <c r="H102" s="2227">
        <f ca="1">I118</f>
        <v>30476</v>
      </c>
      <c r="I102" s="1458"/>
    </row>
    <row r="103" spans="1:35" ht="42.75" customHeight="1">
      <c r="A103" s="3367"/>
      <c r="B103" s="2339" t="s">
        <v>99</v>
      </c>
      <c r="C103" s="2340">
        <f ca="1">C20</f>
        <v>32256</v>
      </c>
      <c r="D103" s="2341">
        <f ca="1">D20</f>
        <v>26323</v>
      </c>
      <c r="E103" s="3338" t="s">
        <v>974</v>
      </c>
      <c r="F103" s="3339"/>
      <c r="G103" s="2342" t="s">
        <v>102</v>
      </c>
      <c r="H103" s="2338">
        <f>IF(D36="正常操作",H104+H105+H106,H105+H106)</f>
        <v>0</v>
      </c>
      <c r="I103" s="1458"/>
    </row>
    <row r="104" spans="1:35" ht="18.75" customHeight="1">
      <c r="A104" s="3367" t="s">
        <v>975</v>
      </c>
      <c r="B104" s="2343" t="s">
        <v>972</v>
      </c>
      <c r="C104" s="2344">
        <f ca="1">H118</f>
        <v>474</v>
      </c>
      <c r="D104" s="2345"/>
      <c r="E104" s="2183" t="s">
        <v>976</v>
      </c>
      <c r="F104" s="2346"/>
      <c r="G104" s="2342" t="s">
        <v>102</v>
      </c>
      <c r="H104" s="2347">
        <f>IF(D36="同一抵押权人同一抵押物续贷",C36&amp;"（续贷，未扣减，详见特别提示）",C36)</f>
        <v>0</v>
      </c>
      <c r="I104" s="1458"/>
    </row>
    <row r="105" spans="1:35" ht="18.75" customHeight="1" thickBot="1">
      <c r="A105" s="3368"/>
      <c r="B105" s="2348" t="s">
        <v>99</v>
      </c>
      <c r="C105" s="2349">
        <f ca="1">I118</f>
        <v>30476</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53" t="str">
        <f>IF(项目基本情况!E8="已注销","——","3.房地产抵押价值")</f>
        <v>3.房地产抵押价值</v>
      </c>
      <c r="F107" s="3354"/>
      <c r="G107" s="2337" t="s">
        <v>972</v>
      </c>
      <c r="H107" s="2338">
        <f ca="1">IF(E107="——","——",H101-H103)</f>
        <v>474</v>
      </c>
      <c r="I107" s="1458"/>
    </row>
    <row r="108" spans="1:35" ht="18.75" customHeight="1">
      <c r="A108" s="1458"/>
      <c r="B108" s="1458"/>
      <c r="C108" s="1458"/>
      <c r="D108" s="1458"/>
      <c r="E108" s="3353"/>
      <c r="F108" s="3354"/>
      <c r="G108" s="2337" t="s">
        <v>99</v>
      </c>
      <c r="H108" s="2227">
        <f ca="1">IF(H107=H101,H102,ROUND(H107*10000/'数据-汇总表'!E3,0))</f>
        <v>30476</v>
      </c>
      <c r="I108" s="1458"/>
    </row>
    <row r="109" spans="1:35" ht="18.75" customHeight="1">
      <c r="A109" s="1458"/>
      <c r="B109" s="1458"/>
      <c r="C109" s="1458"/>
      <c r="D109" s="1458"/>
      <c r="E109" s="3353" t="str">
        <f>IF(项目基本情况!E8="已注销及未注销","4.抵押担保权已注销时的房地产抵押价值",IF(项目基本情况!E8="已注销","3.抵押担保权已注销时的房地产抵押价值","——"))</f>
        <v>——</v>
      </c>
      <c r="F109" s="3354"/>
      <c r="G109" s="2337" t="s">
        <v>972</v>
      </c>
      <c r="H109" s="2353" t="str">
        <f>IF(E109="——","——",H101-H105-H106)</f>
        <v>——</v>
      </c>
      <c r="I109" s="1458"/>
    </row>
    <row r="110" spans="1:35" ht="18.75" customHeight="1">
      <c r="A110" s="1458"/>
      <c r="B110" s="1458"/>
      <c r="C110" s="1458"/>
      <c r="D110" s="1458"/>
      <c r="E110" s="3353"/>
      <c r="F110" s="3354"/>
      <c r="G110" s="2337" t="s">
        <v>99</v>
      </c>
      <c r="H110" s="2227" t="str">
        <f>IF(H109="——","——",ROUND(H109*10000/'数据-汇总表'!E3,0))</f>
        <v>——</v>
      </c>
      <c r="I110" s="1458"/>
    </row>
    <row r="111" spans="1:35" ht="18.75" customHeight="1">
      <c r="A111" s="1458"/>
      <c r="B111" s="1458"/>
      <c r="C111" s="1458"/>
      <c r="D111" s="1458"/>
      <c r="E111" s="3355" t="str">
        <f>IF(项目基本情况!E9="抵押净值",IF(OR(项目基本情况!E8="已注销",项目基本情况!E8="房地产抵押价值"),"4.抵押净值","5.抵押净值"),"——")</f>
        <v>——</v>
      </c>
      <c r="F111" s="3327"/>
      <c r="G111" s="2337" t="s">
        <v>972</v>
      </c>
      <c r="H111" s="2338" t="str">
        <f>IF(E111="——","——",N59)</f>
        <v>——</v>
      </c>
      <c r="I111" s="1458"/>
    </row>
    <row r="112" spans="1:35" ht="18.75" customHeight="1" thickBot="1">
      <c r="A112" s="1458"/>
      <c r="B112" s="1458"/>
      <c r="C112" s="1458"/>
      <c r="D112" s="1458"/>
      <c r="E112" s="3356"/>
      <c r="F112" s="3357"/>
      <c r="G112" s="2354" t="s">
        <v>99</v>
      </c>
      <c r="H112" s="2355" t="str">
        <f>IF(E111="——","——",N61)</f>
        <v>——</v>
      </c>
      <c r="I112" s="1458"/>
    </row>
    <row r="113" spans="1:27" ht="18.75" customHeight="1">
      <c r="A113" s="1458"/>
      <c r="B113" s="1458"/>
      <c r="C113" s="1458"/>
      <c r="D113" s="1458"/>
      <c r="E113" s="3340" t="s">
        <v>978</v>
      </c>
      <c r="F113" s="3340"/>
      <c r="G113" s="3340"/>
      <c r="H113" s="3340"/>
      <c r="I113" s="1458"/>
    </row>
    <row r="114" spans="1:27" ht="3.75" customHeight="1">
      <c r="A114" s="1998"/>
      <c r="B114" s="1998"/>
      <c r="C114" s="1998"/>
      <c r="D114" s="1998"/>
      <c r="E114" s="2237"/>
      <c r="F114" s="2237"/>
      <c r="G114" s="2237"/>
      <c r="H114" s="2237"/>
      <c r="I114" s="1998"/>
    </row>
    <row r="115" spans="1:27" ht="18.75" customHeight="1">
      <c r="A115" s="3341" t="s">
        <v>980</v>
      </c>
      <c r="B115" s="3342"/>
      <c r="C115" s="3342"/>
      <c r="D115" s="3342"/>
      <c r="E115" s="3342"/>
      <c r="F115" s="3342"/>
      <c r="G115" s="3342"/>
      <c r="H115" s="3342"/>
      <c r="I115" s="3343"/>
    </row>
    <row r="116" spans="1:27" ht="27" customHeight="1">
      <c r="A116" s="3331" t="s">
        <v>981</v>
      </c>
      <c r="B116" s="3370" t="s">
        <v>982</v>
      </c>
      <c r="C116" s="3370" t="s">
        <v>983</v>
      </c>
      <c r="D116" s="3344" t="s">
        <v>984</v>
      </c>
      <c r="E116" s="3345"/>
      <c r="F116" s="3346" t="s">
        <v>985</v>
      </c>
      <c r="G116" s="3346"/>
      <c r="H116" s="3331" t="s">
        <v>986</v>
      </c>
      <c r="I116" s="3331"/>
    </row>
    <row r="117" spans="1:27" ht="18.75" customHeight="1">
      <c r="A117" s="3331"/>
      <c r="B117" s="3371"/>
      <c r="C117" s="3371"/>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155.37</v>
      </c>
      <c r="C118" s="868">
        <f>M19</f>
        <v>0</v>
      </c>
      <c r="D118" s="868">
        <f ca="1">ROUND(IF(D32="总价",C34,E118*B118/10000),0)</f>
        <v>362</v>
      </c>
      <c r="E118" s="868">
        <f ca="1">ROUND(IF(C33="自定义",IF(D32="楼面单价",C34,D118*10000/B118),I118-G118),0)</f>
        <v>23284</v>
      </c>
      <c r="F118" s="868">
        <f ca="1">ROUND(IF(D32="总价",C35,G118*B118/10000),0)</f>
        <v>112</v>
      </c>
      <c r="G118" s="868">
        <f ca="1">ROUND(IF(D32="楼面单价",C35,F118*10000/B118),0)</f>
        <v>7192</v>
      </c>
      <c r="H118" s="2357">
        <f ca="1">ROUND(IF(D32="总价",C32,I118*B118/10000),0)</f>
        <v>474</v>
      </c>
      <c r="I118" s="868">
        <f ca="1">ROUND(IF(D32="楼面单价",C32,H118*10000/B118),0)</f>
        <v>30476</v>
      </c>
    </row>
    <row r="119" spans="1:27" ht="18.75" customHeight="1">
      <c r="A119" s="3331" t="s">
        <v>988</v>
      </c>
      <c r="B119" s="3331"/>
      <c r="C119" s="3331"/>
      <c r="D119" s="3332" t="str">
        <f ca="1">NUMBERSTRING(INT(D118*10000),2)&amp;"元整"</f>
        <v>叁佰陆拾贰万元整</v>
      </c>
      <c r="E119" s="3334"/>
      <c r="F119" s="3332" t="str">
        <f ca="1">NUMBERSTRING(INT(F118*10000),2)&amp;"元整"</f>
        <v>壹佰壹拾贰万元整</v>
      </c>
      <c r="G119" s="3334"/>
      <c r="H119" s="3332" t="str">
        <f ca="1">NUMBERSTRING(INT(H118*10000),2)&amp;"元整"</f>
        <v>肆佰柒拾肆万元整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2" t="s">
        <v>988</v>
      </c>
      <c r="B121" s="3333"/>
      <c r="C121" s="3334"/>
      <c r="D121" s="3332" t="str">
        <f>IF(D120=0,"零元整",NUMBERSTRING(INT(D120*10000),2)&amp;"元整")</f>
        <v>零元整</v>
      </c>
      <c r="E121" s="3333"/>
      <c r="F121" s="3333"/>
      <c r="G121" s="3333"/>
      <c r="H121" s="3333"/>
      <c r="I121" s="3334"/>
      <c r="AA121" s="1417"/>
    </row>
    <row r="122" spans="1:27" ht="18.75" customHeight="1">
      <c r="A122" s="3327" t="str">
        <f>IF(项目基本情况!B9="房地产市场价值","",MID(E107,3,LEN(E107)-2))</f>
        <v>房地产抵押价值</v>
      </c>
      <c r="B122" s="3327"/>
      <c r="C122" s="3327"/>
      <c r="D122" s="3328">
        <f ca="1">H107</f>
        <v>474</v>
      </c>
      <c r="E122" s="3329"/>
      <c r="F122" s="3329"/>
      <c r="G122" s="3329"/>
      <c r="H122" s="3329"/>
      <c r="I122" s="3330"/>
      <c r="AA122" s="1417"/>
    </row>
    <row r="123" spans="1:27" ht="18.75" customHeight="1">
      <c r="A123" s="3331" t="s">
        <v>988</v>
      </c>
      <c r="B123" s="3331"/>
      <c r="C123" s="3331"/>
      <c r="D123" s="3332" t="str">
        <f ca="1">NUMBERSTRING(INT(D122*10000),2)&amp;"元整"</f>
        <v>肆佰柒拾肆万元整</v>
      </c>
      <c r="E123" s="3333"/>
      <c r="F123" s="3333"/>
      <c r="G123" s="3333"/>
      <c r="H123" s="3333"/>
      <c r="I123" s="3334"/>
      <c r="AA123" s="1417"/>
    </row>
    <row r="124" spans="1:27" ht="18.75" customHeight="1">
      <c r="A124" s="3327" t="str">
        <f>IF(项目基本情况!B9="房地产市场价值","",MID(E109,3,LEN(E109)-2))</f>
        <v/>
      </c>
      <c r="B124" s="3327"/>
      <c r="C124" s="3327"/>
      <c r="D124" s="3328" t="str">
        <f>H109</f>
        <v>——</v>
      </c>
      <c r="E124" s="3329"/>
      <c r="F124" s="3329"/>
      <c r="G124" s="3329"/>
      <c r="H124" s="3329"/>
      <c r="I124" s="3330"/>
      <c r="AA124" s="1417"/>
    </row>
    <row r="125" spans="1:27" ht="18.75" customHeight="1">
      <c r="A125" s="3331" t="s">
        <v>988</v>
      </c>
      <c r="B125" s="3331"/>
      <c r="C125" s="3331"/>
      <c r="D125" s="3332" t="e">
        <f>NUMBERSTRING(INT(D124*10000),2)&amp;"元整"</f>
        <v>#VALUE!</v>
      </c>
      <c r="E125" s="3333"/>
      <c r="F125" s="3333"/>
      <c r="G125" s="3333"/>
      <c r="H125" s="3333"/>
      <c r="I125" s="3334"/>
      <c r="AA125" s="1417"/>
    </row>
    <row r="126" spans="1:27" ht="18.75" customHeight="1">
      <c r="A126" s="3327" t="str">
        <f>IF(项目基本情况!B9="房地产市场价值","",MID(E111,3,LEN(E111)-2))</f>
        <v/>
      </c>
      <c r="B126" s="3327"/>
      <c r="C126" s="3327"/>
      <c r="D126" s="3328" t="str">
        <f>H111</f>
        <v>——</v>
      </c>
      <c r="E126" s="3329"/>
      <c r="F126" s="3329"/>
      <c r="G126" s="3329"/>
      <c r="H126" s="3329"/>
      <c r="I126" s="3330"/>
      <c r="AA126" s="1417"/>
    </row>
    <row r="127" spans="1:27" ht="18.75" customHeight="1">
      <c r="A127" s="3331" t="s">
        <v>988</v>
      </c>
      <c r="B127" s="3331"/>
      <c r="C127" s="3331"/>
      <c r="D127" s="3332" t="e">
        <f>NUMBERSTRING(INT(D126*10000),2)&amp;"元整"</f>
        <v>#VALUE!</v>
      </c>
      <c r="E127" s="3333"/>
      <c r="F127" s="3333"/>
      <c r="G127" s="3333"/>
      <c r="H127" s="3333"/>
      <c r="I127" s="3334"/>
      <c r="AA127" s="1417"/>
    </row>
    <row r="128" spans="1:27" ht="21.75" customHeight="1">
      <c r="A128" s="3361" t="s">
        <v>113</v>
      </c>
      <c r="B128" s="3361"/>
      <c r="C128" s="3361"/>
      <c r="D128" s="3361"/>
      <c r="E128" s="3361"/>
      <c r="F128" s="3361"/>
      <c r="G128" s="3361"/>
      <c r="H128" s="3361"/>
      <c r="I128" s="3361"/>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56CD4B21-94B7-4800-BA2F-B64DAE201493}">
      <formula1>项目类型</formula1>
    </dataValidation>
    <dataValidation type="list" showInputMessage="1" showErrorMessage="1" sqref="G1" xr:uid="{EB37FA37-58A2-4FC6-B34F-394F62260495}">
      <formula1>"现房,在建,土地,-"</formula1>
    </dataValidation>
    <dataValidation type="list" allowBlank="1" showInputMessage="1" showErrorMessage="1" sqref="I1" xr:uid="{26017D54-7FE0-45D8-8458-EFA923BD0303}">
      <formula1>"项目局部,项目全部,——"</formula1>
    </dataValidation>
    <dataValidation type="list" allowBlank="1" showInputMessage="1" showErrorMessage="1" sqref="C4:D4 D33" xr:uid="{628D35CD-2ECC-43C3-88FF-C9FBB0E2AF36}">
      <formula1>估价方法</formula1>
    </dataValidation>
    <dataValidation type="list" allowBlank="1" showInputMessage="1" showErrorMessage="1" sqref="D32" xr:uid="{76DDDF71-AB33-4E03-9C47-F9FF08F2D1DE}">
      <formula1>"总价,楼面单价"</formula1>
    </dataValidation>
    <dataValidation type="list" allowBlank="1" showInputMessage="1" showErrorMessage="1" sqref="C33" xr:uid="{1FA2B86C-75B3-4D54-A70E-4CAC87D02AE8}">
      <formula1>"成本比率,收益比率,自定义"</formula1>
    </dataValidation>
    <dataValidation type="list" allowBlank="1" showInputMessage="1" showErrorMessage="1" sqref="D36" xr:uid="{B4A5ABBF-C220-4655-8702-F3AFC30A0D12}">
      <formula1>"同一抵押权人同一抵押物续贷,注销后放款,正常操作"</formula1>
    </dataValidation>
    <dataValidation type="list" allowBlank="1" showInputMessage="1" showErrorMessage="1" sqref="F45" xr:uid="{00F94F1F-B8DD-4919-8E00-CAF4B922668A}">
      <formula1>"100%,70%,56%"</formula1>
    </dataValidation>
    <dataValidation type="list" allowBlank="1" showInputMessage="1" showErrorMessage="1" sqref="H48" xr:uid="{33EDCF1C-0631-47B7-A60F-453F60BE44BC}">
      <formula1>"情况1,情况2,情况3,情况4"</formula1>
    </dataValidation>
    <dataValidation type="list" allowBlank="1" showInputMessage="1" showErrorMessage="1" sqref="H58" xr:uid="{DB77BC79-17CE-4A8E-AADB-035CC704A339}">
      <formula1>"转让取得,自行开发建设"</formula1>
    </dataValidation>
    <dataValidation type="list" allowBlank="1" showInputMessage="1" showErrorMessage="1" sqref="H59" xr:uid="{C5D05B3D-D3BA-4ECF-B2D2-961C8EFC910C}">
      <formula1>"非个人房产,个人住宅（满五唯一有凭证）,个人其他（有凭证）,个人其他（无凭证）"</formula1>
    </dataValidation>
    <dataValidation type="list" allowBlank="1" showInputMessage="1" showErrorMessage="1" sqref="F75" xr:uid="{082F4F0D-5FFD-4036-B9B2-BD9E79B67BA0}">
      <formula1>"买卖合同,购房发票"</formula1>
    </dataValidation>
    <dataValidation type="list" allowBlank="1" showInputMessage="1" showErrorMessage="1" sqref="G77" xr:uid="{85019C1B-3552-4224-80C8-D319453B32EA}">
      <formula1>"个人住宅,2016年5月1日前购买,2016年5月1日后购买"</formula1>
    </dataValidation>
    <dataValidation type="list" allowBlank="1" showInputMessage="1" showErrorMessage="1" sqref="H88" xr:uid="{DD4D4C77-C3D4-4173-814E-006D7E3C27C4}">
      <formula1>"仅含出让金,出让金+开发费"</formula1>
    </dataValidation>
    <dataValidation type="list" allowBlank="1" showInputMessage="1" showErrorMessage="1" sqref="H91" xr:uid="{050E9D55-D287-4580-8276-0962F6ED3ACB}">
      <formula1>"企业提供（在右侧录入）,——"</formula1>
    </dataValidation>
    <dataValidation type="list" allowBlank="1" showInputMessage="1" showErrorMessage="1" sqref="D92" xr:uid="{C58AB47D-B992-4C43-926F-3E55F3EDC20C}">
      <formula1>"0,5%,10%"</formula1>
    </dataValidation>
    <dataValidation type="list" allowBlank="1" showInputMessage="1" showErrorMessage="1" sqref="E103" xr:uid="{0CAFA4E8-1F01-4493-90C6-E97AF19C8936}">
      <formula1>"2.估价师知悉的法定优先受偿款,2.估价师知悉的除抵押担保权以外的法定优先受偿款"</formula1>
    </dataValidation>
    <dataValidation type="list" allowBlank="1" showInputMessage="1" showErrorMessage="1" sqref="D116:E116" xr:uid="{9768E9DD-44F9-49D9-81BA-0DF3E9480C04}">
      <formula1>"出让国有建设用地使用权价值,划拨国有建设用地使用权价值"</formula1>
    </dataValidation>
    <dataValidation type="list" allowBlank="1" showInputMessage="1" showErrorMessage="1" sqref="F116:G116" xr:uid="{AC96C008-3503-4C30-9840-108136129069}">
      <formula1>"建筑物价值,在建建筑物价值,建筑物/在建建筑物价值"</formula1>
    </dataValidation>
    <dataValidation type="list" allowBlank="1" showInputMessage="1" showErrorMessage="1" sqref="C129" xr:uid="{C357C36F-D7B3-4085-8362-FF7DE9950B64}">
      <formula1>"无,有"</formula1>
    </dataValidation>
    <dataValidation type="list" allowBlank="1" showInputMessage="1" showErrorMessage="1" sqref="B116:B117" xr:uid="{F02BB88C-225F-4F02-BB3F-34A114040BB4}">
      <formula1>"建筑面积,规划建筑面积,（规划）建筑面积"</formula1>
    </dataValidation>
    <dataValidation type="list" allowBlank="1" showInputMessage="1" showErrorMessage="1" sqref="C116:C117" xr:uid="{5662700D-0FCC-4D80-9919-DBAD9E720D8D}">
      <formula1>"土地面积,分摊土地面积,（分摊）土地面积"</formula1>
    </dataValidation>
    <dataValidation type="list" allowBlank="1" showInputMessage="1" showErrorMessage="1" sqref="H55:H56" xr:uid="{B8ED8CD0-0B39-4299-891B-05BE5B900CBF}">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84E2-D747-460A-9A02-8FC0534954C0}">
  <sheetPr codeName="Sheet50">
    <tabColor rgb="FF92D050"/>
    <pageSetUpPr fitToPage="1"/>
  </sheetPr>
  <dimension ref="A1:AC131"/>
  <sheetViews>
    <sheetView view="pageBreakPreview" topLeftCell="A4" zoomScale="85" zoomScaleNormal="70" zoomScaleSheetLayoutView="85" workbookViewId="0">
      <selection activeCell="N24" sqref="N2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506.1644</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32578</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83" t="s">
        <v>1347</v>
      </c>
      <c r="D4" s="3384"/>
      <c r="E4" s="3385" t="s">
        <v>1348</v>
      </c>
      <c r="F4" s="3386"/>
      <c r="G4" s="3383" t="s">
        <v>1349</v>
      </c>
      <c r="H4" s="3384"/>
      <c r="I4" s="3383" t="s">
        <v>1350</v>
      </c>
      <c r="J4" s="3384"/>
      <c r="K4" s="1064" t="s">
        <v>1351</v>
      </c>
      <c r="L4" s="1065"/>
      <c r="M4" s="1015"/>
      <c r="N4" s="1015"/>
      <c r="O4" s="1015"/>
      <c r="P4" s="3438" t="s">
        <v>1352</v>
      </c>
      <c r="Q4" s="3439"/>
      <c r="R4" s="3442" t="s">
        <v>1348</v>
      </c>
      <c r="S4" s="3443"/>
      <c r="T4" s="3442" t="s">
        <v>1349</v>
      </c>
      <c r="U4" s="3443"/>
      <c r="V4" s="3399" t="s">
        <v>1350</v>
      </c>
      <c r="W4" s="3399"/>
      <c r="X4" s="1113"/>
      <c r="Y4" s="3442" t="s">
        <v>1352</v>
      </c>
      <c r="Z4" s="3443"/>
      <c r="AA4" s="3437" t="s">
        <v>1348</v>
      </c>
      <c r="AB4" s="3399" t="s">
        <v>1349</v>
      </c>
      <c r="AC4" s="3437" t="s">
        <v>1350</v>
      </c>
    </row>
    <row r="5" spans="1:29" ht="13.95" customHeight="1">
      <c r="A5" s="922"/>
      <c r="B5" s="923"/>
      <c r="C5" s="3431" t="s">
        <v>1575</v>
      </c>
      <c r="D5" s="3388"/>
      <c r="E5" s="3514" t="s">
        <v>2853</v>
      </c>
      <c r="F5" s="3433"/>
      <c r="G5" s="3387" t="s">
        <v>2854</v>
      </c>
      <c r="H5" s="3388"/>
      <c r="I5" s="3387" t="s">
        <v>2855</v>
      </c>
      <c r="J5" s="3388"/>
      <c r="K5" s="1064"/>
      <c r="L5" s="1065"/>
      <c r="M5" s="1015"/>
      <c r="N5" s="1015"/>
      <c r="O5" s="1015"/>
      <c r="P5" s="3440"/>
      <c r="Q5" s="3421"/>
      <c r="R5" s="3426"/>
      <c r="S5" s="3427"/>
      <c r="T5" s="3426"/>
      <c r="U5" s="3427"/>
      <c r="V5" s="3399"/>
      <c r="W5" s="3399"/>
      <c r="X5" s="1113"/>
      <c r="Y5" s="3426"/>
      <c r="Z5" s="3427"/>
      <c r="AA5" s="3413"/>
      <c r="AB5" s="3399"/>
      <c r="AC5" s="3413"/>
    </row>
    <row r="6" spans="1:29" ht="15" thickBot="1">
      <c r="A6" s="924"/>
      <c r="B6" s="925"/>
      <c r="C6" s="3389" t="s">
        <v>1354</v>
      </c>
      <c r="D6" s="3390"/>
      <c r="E6" s="3391" t="s">
        <v>2799</v>
      </c>
      <c r="F6" s="3392"/>
      <c r="G6" s="3389" t="s">
        <v>2799</v>
      </c>
      <c r="H6" s="3390"/>
      <c r="I6" s="3389" t="s">
        <v>2799</v>
      </c>
      <c r="J6" s="3390"/>
      <c r="K6" s="1064" t="s">
        <v>1355</v>
      </c>
      <c r="L6" s="1065"/>
      <c r="M6" s="1015"/>
      <c r="N6" s="1015"/>
      <c r="O6" s="1015"/>
      <c r="P6" s="3441"/>
      <c r="Q6" s="3423"/>
      <c r="R6" s="3426"/>
      <c r="S6" s="3427"/>
      <c r="T6" s="3428"/>
      <c r="U6" s="3429"/>
      <c r="V6" s="3399"/>
      <c r="W6" s="3399"/>
      <c r="X6" s="1113"/>
      <c r="Y6" s="3428"/>
      <c r="Z6" s="3429"/>
      <c r="AA6" s="3414"/>
      <c r="AB6" s="3399"/>
      <c r="AC6" s="3414"/>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395" t="s">
        <v>1357</v>
      </c>
      <c r="Q7" s="3394"/>
      <c r="R7" s="1114" t="s">
        <v>1358</v>
      </c>
      <c r="S7" s="1115">
        <f t="shared" ref="S7:S15" si="0">F7</f>
        <v>100</v>
      </c>
      <c r="T7" s="1114" t="s">
        <v>1358</v>
      </c>
      <c r="U7" s="1115">
        <f t="shared" ref="U7:U15" si="1">H7</f>
        <v>100</v>
      </c>
      <c r="V7" s="1114" t="s">
        <v>1358</v>
      </c>
      <c r="W7" s="1115">
        <f t="shared" ref="W7:W15" si="2">J7</f>
        <v>100</v>
      </c>
      <c r="X7" s="1116"/>
      <c r="Y7" s="3395" t="s">
        <v>1357</v>
      </c>
      <c r="Z7" s="3396"/>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395" t="s">
        <v>1361</v>
      </c>
      <c r="Q8" s="3396"/>
      <c r="R8" s="1114" t="s">
        <v>1358</v>
      </c>
      <c r="S8" s="1115">
        <f t="shared" si="0"/>
        <v>102</v>
      </c>
      <c r="T8" s="1114" t="s">
        <v>1358</v>
      </c>
      <c r="U8" s="1115">
        <f t="shared" si="1"/>
        <v>102</v>
      </c>
      <c r="V8" s="1114" t="s">
        <v>1358</v>
      </c>
      <c r="W8" s="1115">
        <f t="shared" si="2"/>
        <v>102</v>
      </c>
      <c r="X8" s="1116"/>
      <c r="Y8" s="3395" t="s">
        <v>1361</v>
      </c>
      <c r="Z8" s="339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397" t="s">
        <v>1364</v>
      </c>
      <c r="Q9" s="790" t="str">
        <f t="shared" ref="Q9:Q15" si="6">B9</f>
        <v>用途</v>
      </c>
      <c r="R9" s="1114" t="s">
        <v>1358</v>
      </c>
      <c r="S9" s="1115">
        <f t="shared" si="0"/>
        <v>100</v>
      </c>
      <c r="T9" s="1114" t="s">
        <v>1358</v>
      </c>
      <c r="U9" s="1115">
        <f t="shared" si="1"/>
        <v>100</v>
      </c>
      <c r="V9" s="1114" t="s">
        <v>1358</v>
      </c>
      <c r="W9" s="1115">
        <f t="shared" si="2"/>
        <v>100</v>
      </c>
      <c r="X9" s="1116"/>
      <c r="Y9" s="3369" t="s">
        <v>1365</v>
      </c>
      <c r="Z9" s="1126" t="str">
        <f t="shared" ref="Z9:Z15" si="7">Q9</f>
        <v>用途</v>
      </c>
      <c r="AA9" s="1126">
        <f t="shared" si="3"/>
        <v>1</v>
      </c>
      <c r="AB9" s="1126">
        <f t="shared" si="4"/>
        <v>1</v>
      </c>
      <c r="AC9" s="1126">
        <f t="shared" si="5"/>
        <v>1</v>
      </c>
    </row>
    <row r="10" spans="1:29" s="900" customFormat="1" ht="28.8">
      <c r="A10" s="939"/>
      <c r="B10" s="940" t="s">
        <v>1366</v>
      </c>
      <c r="C10" s="1277" t="s">
        <v>2858</v>
      </c>
      <c r="D10" s="942">
        <v>100</v>
      </c>
      <c r="E10" s="3530" t="s">
        <v>2857</v>
      </c>
      <c r="F10" s="940">
        <f>SUMIF(65:65,E10,66:66)-SUMIF(65:65,C10,66:66)+100</f>
        <v>97</v>
      </c>
      <c r="G10" s="3530" t="s">
        <v>2857</v>
      </c>
      <c r="H10" s="942">
        <f>SUMIF(65:65,G10,66:66)-SUMIF(65:65,C10,66:66)+100</f>
        <v>97</v>
      </c>
      <c r="I10" s="1277" t="s">
        <v>2858</v>
      </c>
      <c r="J10" s="942">
        <f>SUMIF(65:65,I10,66:66)-SUMIF(65:65,C10,66:66)+100</f>
        <v>100</v>
      </c>
      <c r="K10" s="1069"/>
      <c r="L10" s="1075"/>
      <c r="M10" s="1076"/>
      <c r="N10" s="1076"/>
      <c r="O10" s="1076"/>
      <c r="P10" s="3397"/>
      <c r="Q10" s="790" t="str">
        <f t="shared" si="6"/>
        <v>土地使用年限（年）</v>
      </c>
      <c r="R10" s="1114" t="s">
        <v>1358</v>
      </c>
      <c r="S10" s="1115">
        <f t="shared" si="0"/>
        <v>97</v>
      </c>
      <c r="T10" s="1114" t="s">
        <v>1358</v>
      </c>
      <c r="U10" s="1115">
        <f t="shared" si="1"/>
        <v>97</v>
      </c>
      <c r="V10" s="1114" t="s">
        <v>1358</v>
      </c>
      <c r="W10" s="1115">
        <f t="shared" si="2"/>
        <v>100</v>
      </c>
      <c r="X10" s="1116"/>
      <c r="Y10" s="3369"/>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397"/>
      <c r="Q11" s="790" t="str">
        <f t="shared" si="6"/>
        <v>容积率</v>
      </c>
      <c r="R11" s="1114" t="s">
        <v>1358</v>
      </c>
      <c r="S11" s="1115">
        <f t="shared" si="0"/>
        <v>100</v>
      </c>
      <c r="T11" s="1114" t="s">
        <v>1358</v>
      </c>
      <c r="U11" s="1115">
        <f t="shared" si="1"/>
        <v>100</v>
      </c>
      <c r="V11" s="1114" t="s">
        <v>1358</v>
      </c>
      <c r="W11" s="1115">
        <f t="shared" si="2"/>
        <v>100</v>
      </c>
      <c r="X11" s="1116"/>
      <c r="Y11" s="3369"/>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7"/>
      <c r="Q12" s="790">
        <f t="shared" si="6"/>
        <v>111</v>
      </c>
      <c r="R12" s="1114" t="s">
        <v>1358</v>
      </c>
      <c r="S12" s="1115">
        <f t="shared" si="0"/>
        <v>100</v>
      </c>
      <c r="T12" s="1114" t="s">
        <v>1358</v>
      </c>
      <c r="U12" s="1115">
        <f t="shared" si="1"/>
        <v>100</v>
      </c>
      <c r="V12" s="1114" t="s">
        <v>1358</v>
      </c>
      <c r="W12" s="1115">
        <f t="shared" si="2"/>
        <v>100</v>
      </c>
      <c r="X12" s="1116"/>
      <c r="Y12" s="3369"/>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7"/>
      <c r="Q13" s="790">
        <f t="shared" si="6"/>
        <v>111</v>
      </c>
      <c r="R13" s="1114" t="s">
        <v>1358</v>
      </c>
      <c r="S13" s="1115">
        <f t="shared" si="0"/>
        <v>100</v>
      </c>
      <c r="T13" s="1114" t="s">
        <v>1358</v>
      </c>
      <c r="U13" s="1115">
        <f t="shared" si="1"/>
        <v>100</v>
      </c>
      <c r="V13" s="1114" t="s">
        <v>1358</v>
      </c>
      <c r="W13" s="1115">
        <f t="shared" si="2"/>
        <v>100</v>
      </c>
      <c r="X13" s="1116"/>
      <c r="Y13" s="3369"/>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7"/>
      <c r="Q14" s="790">
        <f t="shared" si="6"/>
        <v>111</v>
      </c>
      <c r="R14" s="1114" t="s">
        <v>1358</v>
      </c>
      <c r="S14" s="1115">
        <f t="shared" si="0"/>
        <v>100</v>
      </c>
      <c r="T14" s="1114" t="s">
        <v>1358</v>
      </c>
      <c r="U14" s="1115">
        <f t="shared" si="1"/>
        <v>100</v>
      </c>
      <c r="V14" s="1114" t="s">
        <v>1358</v>
      </c>
      <c r="W14" s="1115">
        <f t="shared" si="2"/>
        <v>100</v>
      </c>
      <c r="X14" s="1116"/>
      <c r="Y14" s="3369"/>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0" t="s">
        <v>1370</v>
      </c>
      <c r="Q15" s="621" t="str">
        <f t="shared" si="6"/>
        <v>商业繁华度</v>
      </c>
      <c r="R15" s="1118" t="s">
        <v>1358</v>
      </c>
      <c r="S15" s="1119">
        <f t="shared" si="0"/>
        <v>102</v>
      </c>
      <c r="T15" s="1118" t="s">
        <v>1358</v>
      </c>
      <c r="U15" s="1119">
        <f t="shared" si="1"/>
        <v>102</v>
      </c>
      <c r="V15" s="1118" t="s">
        <v>1358</v>
      </c>
      <c r="W15" s="1119">
        <f t="shared" si="2"/>
        <v>102</v>
      </c>
      <c r="X15" s="1113"/>
      <c r="Y15" s="3405"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1"/>
      <c r="Q16" s="621"/>
      <c r="R16" s="1118"/>
      <c r="S16" s="1119"/>
      <c r="T16" s="1118"/>
      <c r="U16" s="1119"/>
      <c r="V16" s="1118"/>
      <c r="W16" s="1119"/>
      <c r="X16" s="1113"/>
      <c r="Y16" s="3406"/>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1"/>
      <c r="Q17" s="621" t="str">
        <f>B17</f>
        <v>交通便捷度</v>
      </c>
      <c r="R17" s="1118" t="s">
        <v>1358</v>
      </c>
      <c r="S17" s="1119">
        <f>F17</f>
        <v>102</v>
      </c>
      <c r="T17" s="1118" t="s">
        <v>1358</v>
      </c>
      <c r="U17" s="1119">
        <f>H17</f>
        <v>102</v>
      </c>
      <c r="V17" s="1118" t="s">
        <v>1358</v>
      </c>
      <c r="W17" s="1119">
        <f>J17</f>
        <v>102</v>
      </c>
      <c r="X17" s="1113"/>
      <c r="Y17" s="3406"/>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1"/>
      <c r="Q18" s="621"/>
      <c r="R18" s="1118"/>
      <c r="S18" s="1119"/>
      <c r="T18" s="1118"/>
      <c r="U18" s="1119"/>
      <c r="V18" s="1118"/>
      <c r="W18" s="1119"/>
      <c r="X18" s="1113"/>
      <c r="Y18" s="3406"/>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1"/>
      <c r="Q19" s="621" t="str">
        <f>B19</f>
        <v>公共配套设施</v>
      </c>
      <c r="R19" s="1118" t="s">
        <v>1358</v>
      </c>
      <c r="S19" s="1119">
        <f>F19</f>
        <v>100</v>
      </c>
      <c r="T19" s="1118" t="s">
        <v>1358</v>
      </c>
      <c r="U19" s="1119">
        <f>H19</f>
        <v>100</v>
      </c>
      <c r="V19" s="1118" t="s">
        <v>1358</v>
      </c>
      <c r="W19" s="1119">
        <f>J19</f>
        <v>100</v>
      </c>
      <c r="X19" s="1113"/>
      <c r="Y19" s="3406"/>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1"/>
      <c r="Q20" s="621"/>
      <c r="R20" s="1118"/>
      <c r="S20" s="1119"/>
      <c r="T20" s="1118"/>
      <c r="U20" s="1119"/>
      <c r="V20" s="1118"/>
      <c r="W20" s="1119"/>
      <c r="X20" s="1113"/>
      <c r="Y20" s="3406"/>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1"/>
      <c r="Q21" s="621" t="str">
        <f>B21</f>
        <v>基础设施水平</v>
      </c>
      <c r="R21" s="1118" t="s">
        <v>1358</v>
      </c>
      <c r="S21" s="1119">
        <f>F21</f>
        <v>100</v>
      </c>
      <c r="T21" s="1118" t="s">
        <v>1358</v>
      </c>
      <c r="U21" s="1119">
        <f>H21</f>
        <v>100</v>
      </c>
      <c r="V21" s="1118" t="s">
        <v>1358</v>
      </c>
      <c r="W21" s="1119">
        <f>J21</f>
        <v>100</v>
      </c>
      <c r="X21" s="1113"/>
      <c r="Y21" s="3406"/>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1"/>
      <c r="Q22" s="621"/>
      <c r="R22" s="1118"/>
      <c r="S22" s="1119"/>
      <c r="T22" s="1118"/>
      <c r="U22" s="1119"/>
      <c r="V22" s="1118"/>
      <c r="W22" s="1119"/>
      <c r="X22" s="1113"/>
      <c r="Y22" s="3406"/>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1"/>
      <c r="Q23" s="621" t="str">
        <f>B23</f>
        <v>自然及人文环境</v>
      </c>
      <c r="R23" s="1118" t="s">
        <v>1358</v>
      </c>
      <c r="S23" s="1119">
        <f>F23</f>
        <v>100</v>
      </c>
      <c r="T23" s="1118" t="s">
        <v>1358</v>
      </c>
      <c r="U23" s="1119">
        <f>H23</f>
        <v>100</v>
      </c>
      <c r="V23" s="1118" t="s">
        <v>1358</v>
      </c>
      <c r="W23" s="1119">
        <f>J23</f>
        <v>100</v>
      </c>
      <c r="X23" s="1113"/>
      <c r="Y23" s="3406"/>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1"/>
      <c r="Q24" s="621"/>
      <c r="R24" s="1118"/>
      <c r="S24" s="1119"/>
      <c r="T24" s="1118"/>
      <c r="U24" s="1119"/>
      <c r="V24" s="1118"/>
      <c r="W24" s="1119"/>
      <c r="X24" s="1113"/>
      <c r="Y24" s="3406"/>
      <c r="Z24" s="1102"/>
      <c r="AA24" s="1102">
        <v>1</v>
      </c>
      <c r="AB24" s="1102">
        <v>1</v>
      </c>
      <c r="AC24" s="1102">
        <v>1</v>
      </c>
    </row>
    <row r="25" spans="1:29" ht="15">
      <c r="A25" s="943"/>
      <c r="B25" s="940" t="s">
        <v>1606</v>
      </c>
      <c r="C25" s="976" t="s">
        <v>2844</v>
      </c>
      <c r="D25" s="755">
        <v>100</v>
      </c>
      <c r="E25" s="976" t="s">
        <v>2844</v>
      </c>
      <c r="F25" s="1097">
        <f>SUMIF(86:86,E25,87:87)-SUMIF(86:86,C25,87:87)+100</f>
        <v>100</v>
      </c>
      <c r="G25" s="976" t="s">
        <v>2844</v>
      </c>
      <c r="H25" s="755">
        <f>SUMIF(86:86,G25,87:87)-SUMIF(86:86,C25,87:87)+100</f>
        <v>100</v>
      </c>
      <c r="I25" s="976" t="s">
        <v>2844</v>
      </c>
      <c r="J25" s="755">
        <f>SUMIF(86:86,I25,87:87)-SUMIF(86:86,C25,87:87)+100</f>
        <v>100</v>
      </c>
      <c r="K25" s="1088"/>
      <c r="L25" s="1081"/>
      <c r="M25" s="1015"/>
      <c r="N25" s="1015"/>
      <c r="O25" s="1015"/>
      <c r="P25" s="3401"/>
      <c r="Q25" s="621" t="str">
        <f t="shared" ref="Q25:Q46" si="11">B25</f>
        <v>临街状况</v>
      </c>
      <c r="R25" s="1118" t="s">
        <v>1358</v>
      </c>
      <c r="S25" s="1119">
        <f>F25</f>
        <v>100</v>
      </c>
      <c r="T25" s="1118" t="s">
        <v>1358</v>
      </c>
      <c r="U25" s="1119">
        <f>H25</f>
        <v>100</v>
      </c>
      <c r="V25" s="1118" t="s">
        <v>1358</v>
      </c>
      <c r="W25" s="1119">
        <f>J25</f>
        <v>100</v>
      </c>
      <c r="X25" s="1113"/>
      <c r="Y25" s="3406"/>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1"/>
      <c r="Q26" s="621" t="str">
        <f t="shared" si="11"/>
        <v>平面位置/可视性</v>
      </c>
      <c r="R26" s="1118" t="s">
        <v>1358</v>
      </c>
      <c r="S26" s="1119">
        <f>F26</f>
        <v>100</v>
      </c>
      <c r="T26" s="1118" t="s">
        <v>1358</v>
      </c>
      <c r="U26" s="1119">
        <f>H26</f>
        <v>100</v>
      </c>
      <c r="V26" s="1118" t="s">
        <v>1358</v>
      </c>
      <c r="W26" s="1119">
        <f>J26</f>
        <v>100</v>
      </c>
      <c r="X26" s="1113"/>
      <c r="Y26" s="3406"/>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01"/>
      <c r="Q27" s="790" t="str">
        <f t="shared" si="11"/>
        <v>人流量</v>
      </c>
      <c r="R27" s="1114" t="s">
        <v>1358</v>
      </c>
      <c r="S27" s="1115">
        <f>F27</f>
        <v>100</v>
      </c>
      <c r="T27" s="1114" t="s">
        <v>1358</v>
      </c>
      <c r="U27" s="1115">
        <f>H27</f>
        <v>100</v>
      </c>
      <c r="V27" s="1114" t="s">
        <v>1358</v>
      </c>
      <c r="W27" s="1115">
        <f>J27</f>
        <v>100</v>
      </c>
      <c r="X27" s="1116"/>
      <c r="Y27" s="3406"/>
      <c r="Z27" s="1126" t="str">
        <f>Q27</f>
        <v>人流量</v>
      </c>
      <c r="AA27" s="1102">
        <f t="shared" si="3"/>
        <v>1</v>
      </c>
      <c r="AB27" s="1102">
        <f t="shared" si="4"/>
        <v>1</v>
      </c>
      <c r="AC27" s="1102">
        <f t="shared" si="5"/>
        <v>1</v>
      </c>
    </row>
    <row r="28" spans="1:29" ht="15">
      <c r="A28" s="943"/>
      <c r="B28" s="940" t="s">
        <v>1378</v>
      </c>
      <c r="C28" s="976" t="s">
        <v>2835</v>
      </c>
      <c r="D28" s="755">
        <v>100</v>
      </c>
      <c r="E28" s="976" t="s">
        <v>2835</v>
      </c>
      <c r="F28" s="1097">
        <f>SUMIF(92:92,E28,93:93)-SUMIF(92:92,C28,93:93)+100</f>
        <v>100</v>
      </c>
      <c r="G28" s="976" t="s">
        <v>2835</v>
      </c>
      <c r="H28" s="755">
        <f>SUMIF(92:92,G28,93:93)-SUMIF(92:92,C28,93:93)+100</f>
        <v>100</v>
      </c>
      <c r="I28" s="976" t="s">
        <v>2835</v>
      </c>
      <c r="J28" s="755">
        <f>SUMIF(92:92,I28,93:93)-SUMIF(92:92,C28,93:93)+100</f>
        <v>100</v>
      </c>
      <c r="K28" s="1087"/>
      <c r="L28" s="1081"/>
      <c r="M28" s="1015"/>
      <c r="N28" s="1015"/>
      <c r="O28" s="1015"/>
      <c r="P28" s="3401"/>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06"/>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1"/>
      <c r="Q29" s="621">
        <f t="shared" si="11"/>
        <v>111</v>
      </c>
      <c r="R29" s="1118" t="s">
        <v>1358</v>
      </c>
      <c r="S29" s="1119">
        <f t="shared" si="12"/>
        <v>100</v>
      </c>
      <c r="T29" s="1118" t="s">
        <v>1358</v>
      </c>
      <c r="U29" s="1119">
        <f t="shared" si="13"/>
        <v>100</v>
      </c>
      <c r="V29" s="1118" t="s">
        <v>1358</v>
      </c>
      <c r="W29" s="1119">
        <f t="shared" si="14"/>
        <v>100</v>
      </c>
      <c r="X29" s="1113"/>
      <c r="Y29" s="3406"/>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1"/>
      <c r="Q30" s="621">
        <f t="shared" si="11"/>
        <v>111</v>
      </c>
      <c r="R30" s="1118" t="s">
        <v>1358</v>
      </c>
      <c r="S30" s="1119">
        <f t="shared" si="12"/>
        <v>100</v>
      </c>
      <c r="T30" s="1118" t="s">
        <v>1358</v>
      </c>
      <c r="U30" s="1119">
        <f t="shared" si="13"/>
        <v>100</v>
      </c>
      <c r="V30" s="1118" t="s">
        <v>1358</v>
      </c>
      <c r="W30" s="1119">
        <f t="shared" si="14"/>
        <v>100</v>
      </c>
      <c r="X30" s="1113"/>
      <c r="Y30" s="3406"/>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1"/>
      <c r="Q31" s="621">
        <f t="shared" si="11"/>
        <v>111</v>
      </c>
      <c r="R31" s="1118" t="s">
        <v>1358</v>
      </c>
      <c r="S31" s="1119">
        <f t="shared" si="12"/>
        <v>100</v>
      </c>
      <c r="T31" s="1118" t="s">
        <v>1358</v>
      </c>
      <c r="U31" s="1119">
        <f t="shared" si="13"/>
        <v>100</v>
      </c>
      <c r="V31" s="1118" t="s">
        <v>1358</v>
      </c>
      <c r="W31" s="1119">
        <f t="shared" si="14"/>
        <v>100</v>
      </c>
      <c r="X31" s="1113"/>
      <c r="Y31" s="3406"/>
      <c r="Z31" s="1102">
        <f t="shared" si="15"/>
        <v>111</v>
      </c>
      <c r="AA31" s="1102">
        <f t="shared" si="3"/>
        <v>1</v>
      </c>
      <c r="AB31" s="1102">
        <f t="shared" si="4"/>
        <v>1</v>
      </c>
      <c r="AC31" s="1102">
        <f t="shared" si="5"/>
        <v>1</v>
      </c>
    </row>
    <row r="32" spans="1:29" ht="15">
      <c r="A32" s="956" t="s">
        <v>1381</v>
      </c>
      <c r="B32" s="936" t="s">
        <v>1609</v>
      </c>
      <c r="C32" s="1283" t="s">
        <v>2845</v>
      </c>
      <c r="D32" s="920">
        <v>100</v>
      </c>
      <c r="E32" s="1283" t="s">
        <v>2845</v>
      </c>
      <c r="F32" s="1097">
        <f>SUMIF(100:100,E32,101:101)-SUMIF(100:100,C32,101:101)+100</f>
        <v>100</v>
      </c>
      <c r="G32" s="1283" t="s">
        <v>2845</v>
      </c>
      <c r="H32" s="755">
        <f>SUMIF(100:100,G32,101:101)-SUMIF(100:100,C32,101:101)+100</f>
        <v>100</v>
      </c>
      <c r="I32" s="1283" t="s">
        <v>2845</v>
      </c>
      <c r="J32" s="920">
        <f>SUMIF(100:100,I32,101:101)-SUMIF(100:100,C32,101:101)+100</f>
        <v>100</v>
      </c>
      <c r="K32" s="1088"/>
      <c r="L32" s="1081"/>
      <c r="M32" s="1015"/>
      <c r="N32" s="1015"/>
      <c r="O32" s="1015"/>
      <c r="P32" s="3402" t="s">
        <v>1384</v>
      </c>
      <c r="Q32" s="621" t="str">
        <f t="shared" si="11"/>
        <v>商业类型</v>
      </c>
      <c r="R32" s="1118" t="s">
        <v>1358</v>
      </c>
      <c r="S32" s="1119">
        <f t="shared" si="12"/>
        <v>100</v>
      </c>
      <c r="T32" s="1118" t="s">
        <v>1358</v>
      </c>
      <c r="U32" s="1119">
        <f t="shared" si="13"/>
        <v>100</v>
      </c>
      <c r="V32" s="1118" t="s">
        <v>1358</v>
      </c>
      <c r="W32" s="1119">
        <f t="shared" si="14"/>
        <v>100</v>
      </c>
      <c r="X32" s="1113"/>
      <c r="Y32" s="3407"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101</v>
      </c>
      <c r="G33" s="944">
        <v>126.85</v>
      </c>
      <c r="H33" s="942">
        <f>LOOKUP(G33,103:103,104:104)-LOOKUP(C33,103:103,104:104)+100</f>
        <v>100</v>
      </c>
      <c r="I33" s="944">
        <v>105.19</v>
      </c>
      <c r="J33" s="942">
        <f>LOOKUP(I33,103:103,104:104)-LOOKUP(C33,103:103,104:104)+100</f>
        <v>100</v>
      </c>
      <c r="K33" s="1087"/>
      <c r="L33" s="1079"/>
      <c r="M33" s="1089"/>
      <c r="N33" s="1089"/>
      <c r="O33" s="1089"/>
      <c r="P33" s="3403"/>
      <c r="Q33" s="1308" t="str">
        <f t="shared" si="11"/>
        <v>项目建筑规模</v>
      </c>
      <c r="R33" s="1120" t="s">
        <v>1358</v>
      </c>
      <c r="S33" s="1121">
        <f t="shared" si="12"/>
        <v>101</v>
      </c>
      <c r="T33" s="1120" t="s">
        <v>1358</v>
      </c>
      <c r="U33" s="1121">
        <f t="shared" si="13"/>
        <v>100</v>
      </c>
      <c r="V33" s="1120" t="s">
        <v>1358</v>
      </c>
      <c r="W33" s="1121">
        <f t="shared" si="14"/>
        <v>100</v>
      </c>
      <c r="X33" s="1122"/>
      <c r="Y33" s="3407"/>
      <c r="Z33" s="1127" t="str">
        <f t="shared" si="15"/>
        <v>项目建筑规模</v>
      </c>
      <c r="AA33" s="1102">
        <f t="shared" si="3"/>
        <v>0.99009900990099009</v>
      </c>
      <c r="AB33" s="1102">
        <f t="shared" si="4"/>
        <v>1</v>
      </c>
      <c r="AC33" s="1102">
        <f t="shared" si="5"/>
        <v>1</v>
      </c>
    </row>
    <row r="34" spans="1:29" ht="15">
      <c r="A34" s="991"/>
      <c r="B34" s="940" t="s">
        <v>1386</v>
      </c>
      <c r="C34" s="1287" t="s">
        <v>2846</v>
      </c>
      <c r="D34" s="755">
        <v>100</v>
      </c>
      <c r="E34" s="1287" t="s">
        <v>2846</v>
      </c>
      <c r="F34" s="1097">
        <f>SUMIF(105:105,E34,106:106)-SUMIF(105:105,C34,106:106)+100</f>
        <v>100</v>
      </c>
      <c r="G34" s="1287" t="s">
        <v>2846</v>
      </c>
      <c r="H34" s="755">
        <f>SUMIF(105:105,G34,106:106)-SUMIF(105:105,C34,106:106)+100</f>
        <v>100</v>
      </c>
      <c r="I34" s="1287" t="s">
        <v>2846</v>
      </c>
      <c r="J34" s="755">
        <f>SUMIF(105:105,I34,106:106)-SUMIF(105:105,C34,106:106)+100</f>
        <v>100</v>
      </c>
      <c r="K34" s="1088"/>
      <c r="L34" s="1081"/>
      <c r="M34" s="1015"/>
      <c r="N34" s="1015"/>
      <c r="O34" s="1015"/>
      <c r="P34" s="3403"/>
      <c r="Q34" s="621" t="str">
        <f t="shared" si="11"/>
        <v>建筑结构</v>
      </c>
      <c r="R34" s="1118" t="s">
        <v>1358</v>
      </c>
      <c r="S34" s="1119">
        <f t="shared" si="12"/>
        <v>100</v>
      </c>
      <c r="T34" s="1118" t="s">
        <v>1358</v>
      </c>
      <c r="U34" s="1119">
        <f t="shared" si="13"/>
        <v>100</v>
      </c>
      <c r="V34" s="1118" t="s">
        <v>1358</v>
      </c>
      <c r="W34" s="1119">
        <f t="shared" si="14"/>
        <v>100</v>
      </c>
      <c r="X34" s="1113"/>
      <c r="Y34" s="3407"/>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3"/>
      <c r="Q35" s="621" t="str">
        <f t="shared" si="11"/>
        <v>公共部分装修</v>
      </c>
      <c r="R35" s="1118" t="s">
        <v>1358</v>
      </c>
      <c r="S35" s="1119">
        <f t="shared" si="12"/>
        <v>100</v>
      </c>
      <c r="T35" s="1118" t="s">
        <v>1358</v>
      </c>
      <c r="U35" s="1119">
        <f t="shared" si="13"/>
        <v>100</v>
      </c>
      <c r="V35" s="1118" t="s">
        <v>1358</v>
      </c>
      <c r="W35" s="1119">
        <f t="shared" si="14"/>
        <v>100</v>
      </c>
      <c r="X35" s="1113"/>
      <c r="Y35" s="3407"/>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3"/>
      <c r="Q36" s="621" t="str">
        <f t="shared" si="11"/>
        <v>成新度</v>
      </c>
      <c r="R36" s="1118" t="s">
        <v>1358</v>
      </c>
      <c r="S36" s="1119">
        <f t="shared" si="12"/>
        <v>100</v>
      </c>
      <c r="T36" s="1118" t="s">
        <v>1358</v>
      </c>
      <c r="U36" s="1119">
        <f t="shared" si="13"/>
        <v>100</v>
      </c>
      <c r="V36" s="1118" t="s">
        <v>1358</v>
      </c>
      <c r="W36" s="1119">
        <f t="shared" si="14"/>
        <v>100</v>
      </c>
      <c r="X36" s="1113"/>
      <c r="Y36" s="3407"/>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3"/>
      <c r="Q37" s="790" t="str">
        <f t="shared" si="11"/>
        <v>市政基础设施</v>
      </c>
      <c r="R37" s="1114" t="s">
        <v>1358</v>
      </c>
      <c r="S37" s="1115">
        <f t="shared" si="12"/>
        <v>100</v>
      </c>
      <c r="T37" s="1114" t="s">
        <v>1358</v>
      </c>
      <c r="U37" s="1115">
        <f t="shared" si="13"/>
        <v>100</v>
      </c>
      <c r="V37" s="1114" t="s">
        <v>1358</v>
      </c>
      <c r="W37" s="1115">
        <f t="shared" si="14"/>
        <v>100</v>
      </c>
      <c r="X37" s="1116"/>
      <c r="Y37" s="3407"/>
      <c r="Z37" s="1126" t="str">
        <f t="shared" si="15"/>
        <v>市政基础设施</v>
      </c>
      <c r="AA37" s="1126">
        <f t="shared" si="3"/>
        <v>1</v>
      </c>
      <c r="AB37" s="1126">
        <f t="shared" si="4"/>
        <v>1</v>
      </c>
      <c r="AC37" s="1126">
        <f t="shared" si="5"/>
        <v>1</v>
      </c>
    </row>
    <row r="38" spans="1:29" ht="15">
      <c r="A38" s="991"/>
      <c r="B38" s="940" t="s">
        <v>1610</v>
      </c>
      <c r="C38" s="992" t="s">
        <v>2847</v>
      </c>
      <c r="D38" s="755">
        <v>100</v>
      </c>
      <c r="E38" s="992" t="s">
        <v>2847</v>
      </c>
      <c r="F38" s="1097">
        <f>SUMIF(114:114,E38,115:115)-SUMIF(114:114,C38,115:115)+100</f>
        <v>100</v>
      </c>
      <c r="G38" s="992" t="s">
        <v>2847</v>
      </c>
      <c r="H38" s="755">
        <f>SUMIF(114:114,G38,115:115)-SUMIF(114:114,C38,115:115)+100</f>
        <v>100</v>
      </c>
      <c r="I38" s="992" t="s">
        <v>2847</v>
      </c>
      <c r="J38" s="755">
        <f>SUMIF(114:114,I38,115:115)-SUMIF(114:114,C38,115:115)+100</f>
        <v>100</v>
      </c>
      <c r="K38" s="1088"/>
      <c r="L38" s="1081"/>
      <c r="M38" s="1015"/>
      <c r="N38" s="1015"/>
      <c r="O38" s="1015"/>
      <c r="P38" s="3403" t="s">
        <v>1384</v>
      </c>
      <c r="Q38" s="621" t="str">
        <f t="shared" si="11"/>
        <v>业态</v>
      </c>
      <c r="R38" s="1118" t="s">
        <v>1358</v>
      </c>
      <c r="S38" s="1119">
        <f t="shared" si="12"/>
        <v>100</v>
      </c>
      <c r="T38" s="1118" t="s">
        <v>1358</v>
      </c>
      <c r="U38" s="1119">
        <f t="shared" si="13"/>
        <v>100</v>
      </c>
      <c r="V38" s="1118" t="s">
        <v>1358</v>
      </c>
      <c r="W38" s="1119">
        <f t="shared" si="14"/>
        <v>100</v>
      </c>
      <c r="X38" s="1113"/>
      <c r="Y38" s="3407"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03"/>
      <c r="Q39" s="621" t="str">
        <f t="shared" si="11"/>
        <v>层高</v>
      </c>
      <c r="R39" s="1118" t="s">
        <v>1358</v>
      </c>
      <c r="S39" s="1119">
        <f t="shared" si="12"/>
        <v>100</v>
      </c>
      <c r="T39" s="1118" t="s">
        <v>1358</v>
      </c>
      <c r="U39" s="1119">
        <f t="shared" si="13"/>
        <v>100</v>
      </c>
      <c r="V39" s="1118" t="s">
        <v>1358</v>
      </c>
      <c r="W39" s="1119">
        <f t="shared" si="14"/>
        <v>100</v>
      </c>
      <c r="X39" s="1113"/>
      <c r="Y39" s="3407"/>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3"/>
      <c r="Q40" s="621" t="str">
        <f t="shared" si="11"/>
        <v>单套建筑面积</v>
      </c>
      <c r="R40" s="1118" t="s">
        <v>1358</v>
      </c>
      <c r="S40" s="1119">
        <f t="shared" si="12"/>
        <v>100</v>
      </c>
      <c r="T40" s="1118" t="s">
        <v>1358</v>
      </c>
      <c r="U40" s="1119">
        <f t="shared" si="13"/>
        <v>100</v>
      </c>
      <c r="V40" s="1118" t="s">
        <v>1358</v>
      </c>
      <c r="W40" s="1119">
        <f t="shared" si="14"/>
        <v>100</v>
      </c>
      <c r="X40" s="1113"/>
      <c r="Y40" s="3407"/>
      <c r="Z40" s="1102" t="str">
        <f t="shared" si="15"/>
        <v>单套建筑面积</v>
      </c>
      <c r="AA40" s="1102">
        <f t="shared" si="3"/>
        <v>1</v>
      </c>
      <c r="AB40" s="1102">
        <f t="shared" si="4"/>
        <v>1</v>
      </c>
      <c r="AC40" s="1102">
        <f t="shared" si="5"/>
        <v>1</v>
      </c>
    </row>
    <row r="41" spans="1:29" s="901" customFormat="1" ht="15">
      <c r="A41" s="996"/>
      <c r="B41" s="1097" t="s">
        <v>1611</v>
      </c>
      <c r="C41" s="976" t="s">
        <v>2848</v>
      </c>
      <c r="D41" s="755">
        <v>100</v>
      </c>
      <c r="E41" s="976" t="s">
        <v>2848</v>
      </c>
      <c r="F41" s="1097">
        <f>SUMIF(120:120,E41,121:121)-SUMIF(120:120,C41,121:121)+100</f>
        <v>100</v>
      </c>
      <c r="G41" s="976" t="s">
        <v>2848</v>
      </c>
      <c r="H41" s="755">
        <f>SUMIF(120:120,G41,121:121)-SUMIF(120:120,C41,121:121)+100</f>
        <v>100</v>
      </c>
      <c r="I41" s="976" t="s">
        <v>2848</v>
      </c>
      <c r="J41" s="755">
        <f>SUMIF(120:120,I41,121:121)-SUMIF(120:120,C41,121:121)+100</f>
        <v>100</v>
      </c>
      <c r="K41" s="1088"/>
      <c r="L41" s="1079"/>
      <c r="M41" s="1089"/>
      <c r="N41" s="1089"/>
      <c r="O41" s="1089"/>
      <c r="P41" s="3403"/>
      <c r="Q41" s="1308" t="str">
        <f t="shared" si="11"/>
        <v>进深比</v>
      </c>
      <c r="R41" s="1120" t="s">
        <v>1358</v>
      </c>
      <c r="S41" s="1121">
        <f t="shared" si="12"/>
        <v>100</v>
      </c>
      <c r="T41" s="1120" t="s">
        <v>1358</v>
      </c>
      <c r="U41" s="1121">
        <f t="shared" si="13"/>
        <v>100</v>
      </c>
      <c r="V41" s="1120" t="s">
        <v>1358</v>
      </c>
      <c r="W41" s="1121">
        <f t="shared" si="14"/>
        <v>100</v>
      </c>
      <c r="X41" s="1122"/>
      <c r="Y41" s="3407"/>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100</v>
      </c>
      <c r="I42" s="992" t="s">
        <v>1398</v>
      </c>
      <c r="J42" s="755">
        <f>SUMIF(122:122,I42,123:123)-SUMIF(122:122,C42,123:123)+100</f>
        <v>100</v>
      </c>
      <c r="K42" s="1088"/>
      <c r="L42" s="1081"/>
      <c r="M42" s="1015"/>
      <c r="N42" s="1015"/>
      <c r="O42" s="1015"/>
      <c r="P42" s="3403"/>
      <c r="Q42" s="621" t="str">
        <f t="shared" si="11"/>
        <v>内部装修</v>
      </c>
      <c r="R42" s="1118" t="s">
        <v>1358</v>
      </c>
      <c r="S42" s="1119">
        <f t="shared" si="12"/>
        <v>100</v>
      </c>
      <c r="T42" s="1118" t="s">
        <v>1358</v>
      </c>
      <c r="U42" s="1119">
        <f t="shared" si="13"/>
        <v>100</v>
      </c>
      <c r="V42" s="1118" t="s">
        <v>1358</v>
      </c>
      <c r="W42" s="1119">
        <f t="shared" si="14"/>
        <v>100</v>
      </c>
      <c r="X42" s="1113"/>
      <c r="Y42" s="3407"/>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03"/>
      <c r="Q43" s="621" t="str">
        <f t="shared" si="11"/>
        <v>内部装修维护情况</v>
      </c>
      <c r="R43" s="1118" t="s">
        <v>1358</v>
      </c>
      <c r="S43" s="1119">
        <f t="shared" si="12"/>
        <v>100</v>
      </c>
      <c r="T43" s="1118" t="s">
        <v>1358</v>
      </c>
      <c r="U43" s="1119">
        <f t="shared" si="13"/>
        <v>100</v>
      </c>
      <c r="V43" s="1118" t="s">
        <v>1358</v>
      </c>
      <c r="W43" s="1119">
        <f t="shared" si="14"/>
        <v>100</v>
      </c>
      <c r="X43" s="1113"/>
      <c r="Y43" s="3407"/>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3"/>
      <c r="Q44" s="790">
        <f t="shared" si="11"/>
        <v>111</v>
      </c>
      <c r="R44" s="1114" t="s">
        <v>1358</v>
      </c>
      <c r="S44" s="1115">
        <f t="shared" si="12"/>
        <v>100</v>
      </c>
      <c r="T44" s="1114" t="s">
        <v>1358</v>
      </c>
      <c r="U44" s="1115">
        <f t="shared" si="13"/>
        <v>100</v>
      </c>
      <c r="V44" s="1114" t="s">
        <v>1358</v>
      </c>
      <c r="W44" s="1115">
        <f t="shared" si="14"/>
        <v>100</v>
      </c>
      <c r="X44" s="1116"/>
      <c r="Y44" s="3407"/>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3"/>
      <c r="Q45" s="621">
        <f t="shared" si="11"/>
        <v>111</v>
      </c>
      <c r="R45" s="1118" t="s">
        <v>1358</v>
      </c>
      <c r="S45" s="1119">
        <f t="shared" si="12"/>
        <v>100</v>
      </c>
      <c r="T45" s="1118" t="s">
        <v>1358</v>
      </c>
      <c r="U45" s="1119">
        <f t="shared" si="13"/>
        <v>100</v>
      </c>
      <c r="V45" s="1118" t="s">
        <v>1358</v>
      </c>
      <c r="W45" s="1119">
        <f t="shared" si="14"/>
        <v>100</v>
      </c>
      <c r="X45" s="1113"/>
      <c r="Y45" s="3407"/>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4"/>
      <c r="Q46" s="621">
        <f t="shared" si="11"/>
        <v>111</v>
      </c>
      <c r="R46" s="1118" t="s">
        <v>1358</v>
      </c>
      <c r="S46" s="1119">
        <f t="shared" si="12"/>
        <v>100</v>
      </c>
      <c r="T46" s="1118" t="s">
        <v>1358</v>
      </c>
      <c r="U46" s="1119">
        <f t="shared" si="13"/>
        <v>100</v>
      </c>
      <c r="V46" s="1118" t="s">
        <v>1358</v>
      </c>
      <c r="W46" s="1119">
        <f t="shared" si="14"/>
        <v>100</v>
      </c>
      <c r="X46" s="1113"/>
      <c r="Y46" s="3408"/>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398" t="str">
        <f>A47</f>
        <v>成交单价（元/平方米）</v>
      </c>
      <c r="Q47" s="3398"/>
      <c r="R47" s="3399">
        <f>E47</f>
        <v>33579</v>
      </c>
      <c r="S47" s="3399"/>
      <c r="T47" s="3399">
        <f>G47</f>
        <v>35081</v>
      </c>
      <c r="U47" s="3399"/>
      <c r="V47" s="3399">
        <f>I47</f>
        <v>33274</v>
      </c>
      <c r="W47" s="3399"/>
      <c r="X47" s="1055"/>
      <c r="Y47" s="1128"/>
      <c r="Z47" s="1055"/>
      <c r="AA47" s="1055"/>
      <c r="AB47" s="1055"/>
      <c r="AC47" s="1055"/>
    </row>
    <row r="48" spans="1:29" ht="15" thickBot="1">
      <c r="A48" s="1006" t="s">
        <v>1401</v>
      </c>
      <c r="B48" s="1293"/>
      <c r="C48" s="1294">
        <f>R49</f>
        <v>32578</v>
      </c>
      <c r="D48" s="1009" t="s">
        <v>1402</v>
      </c>
      <c r="E48" s="1295">
        <f>R48</f>
        <v>32298</v>
      </c>
      <c r="F48" s="1010"/>
      <c r="G48" s="1294">
        <f>T48</f>
        <v>34080</v>
      </c>
      <c r="H48" s="1010"/>
      <c r="I48" s="1295">
        <f>V48</f>
        <v>31355</v>
      </c>
      <c r="J48" s="1010"/>
      <c r="K48" s="1095">
        <f>F48+H48+J48</f>
        <v>0</v>
      </c>
      <c r="L48" s="1094"/>
      <c r="M48" s="1015"/>
      <c r="N48" s="1015"/>
      <c r="O48" s="1015"/>
      <c r="P48" s="3398" t="str">
        <f>A48</f>
        <v>比较价值（元/平方米）</v>
      </c>
      <c r="Q48" s="3398"/>
      <c r="R48" s="3399">
        <f>IF(F1="售价",ROUND(PRODUCT(R47,AA7:AA46),0),ROUND(PRODUCT(R47,AA7:AA46),1))</f>
        <v>32298</v>
      </c>
      <c r="S48" s="3399"/>
      <c r="T48" s="3399">
        <f>IF(F1="售价",ROUND(PRODUCT(T47,AB7:AB46),0),ROUND(PRODUCT(T47,AB7:AB46),1))</f>
        <v>34080</v>
      </c>
      <c r="U48" s="3399"/>
      <c r="V48" s="3399">
        <f>IF(F1="售价",ROUND(PRODUCT(V47,AC7:AC46),0),ROUND(PRODUCT(V47,AC7:AC46),1))</f>
        <v>31355</v>
      </c>
      <c r="W48" s="3399"/>
      <c r="X48" s="1055"/>
      <c r="Y48" s="1055"/>
      <c r="Z48" s="1055"/>
      <c r="AA48" s="1055"/>
      <c r="AB48" s="1055"/>
      <c r="AC48" s="1055"/>
    </row>
    <row r="49" spans="1:29" ht="15" thickBot="1">
      <c r="A49" s="1012" t="s">
        <v>1403</v>
      </c>
      <c r="B49" s="1013"/>
      <c r="C49" s="925">
        <f>R49</f>
        <v>32578</v>
      </c>
      <c r="D49" s="925"/>
      <c r="E49" s="925"/>
      <c r="F49" s="925"/>
      <c r="G49" s="925"/>
      <c r="H49" s="925"/>
      <c r="I49" s="925"/>
      <c r="J49" s="925"/>
      <c r="K49" s="1096"/>
      <c r="L49" s="1094"/>
      <c r="M49" s="1015"/>
      <c r="N49" s="1015"/>
      <c r="O49" s="1015"/>
      <c r="P49" s="3434" t="str">
        <f>A49</f>
        <v>估价对象XX用房的比较价值（楼面单价，元/平方米）</v>
      </c>
      <c r="Q49" s="3435"/>
      <c r="R49" s="3436">
        <f>IF(F1="售价",ROUND(IF(D48="简单平均",AVERAGE(R48:V48),R48*F48+T48*H48+V48*J48),0),ROUND(IF(D48="简单平均",AVERAGE(R48:V48),R48*F48+T48*H48+V48*J48),1))</f>
        <v>32578</v>
      </c>
      <c r="S49" s="3436"/>
      <c r="T49" s="3436"/>
      <c r="U49" s="3436"/>
      <c r="V49" s="3436"/>
      <c r="W49" s="343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3.9661898569570919E-2</v>
      </c>
      <c r="F52" s="1019" t="str">
        <f>IF(OR(E52&gt;=0.3,E52&lt;=-0.3),"超过30%","")</f>
        <v/>
      </c>
      <c r="G52" s="1018">
        <f>IF(G47&lt;G48,G48/G47-1,G47/G48-1)</f>
        <v>2.9372065727699459E-2</v>
      </c>
      <c r="H52" s="1019" t="str">
        <f>IF(OR(G52&gt;=0.3,G52&lt;=-0.3),"超过30%","")</f>
        <v/>
      </c>
      <c r="I52" s="1018">
        <f>IF(I47&lt;I48,I48/I47-1,I47/I48-1)</f>
        <v>6.120236007016433E-2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5.5173694965632514E-2</v>
      </c>
      <c r="F53" s="1019" t="str">
        <f>IF(OR(E53&gt;=0.2,E53&lt;=-0.2),"超过20%","")</f>
        <v/>
      </c>
      <c r="G53" s="1018">
        <f>IF(G48&lt;I48,I48/G48-1,G48/I48-1)</f>
        <v>8.6907989156434384E-2</v>
      </c>
      <c r="H53" s="1019" t="str">
        <f>IF(OR(G53&gt;=0.2,G53&lt;=-0.2),"超过20%","")</f>
        <v/>
      </c>
      <c r="I53" s="1018">
        <f>IF(I48&lt;E48,E48/I48-1,I48/E48-1)</f>
        <v>3.0074948174134919E-2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2858</v>
      </c>
      <c r="D65" s="3531" t="s">
        <v>2857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2802</v>
      </c>
      <c r="D86" s="2106" t="s">
        <v>2803</v>
      </c>
      <c r="E86" s="2106" t="s">
        <v>2804</v>
      </c>
      <c r="F86" s="2106" t="s">
        <v>2805</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2806</v>
      </c>
      <c r="D88" s="2106" t="s">
        <v>2807</v>
      </c>
      <c r="E88" s="2106" t="s">
        <v>2808</v>
      </c>
      <c r="F88" s="3180" t="s">
        <v>2809</v>
      </c>
      <c r="G88" s="2106" t="s">
        <v>2810</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2811</v>
      </c>
      <c r="D90" s="2106" t="s">
        <v>2812</v>
      </c>
      <c r="E90" s="2106" t="s">
        <v>2808</v>
      </c>
      <c r="F90" s="2106" t="s">
        <v>2813</v>
      </c>
      <c r="G90" s="2106" t="s">
        <v>2814</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1"/>
      <c r="O91" s="3109" t="s">
        <v>2833</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2852</v>
      </c>
      <c r="D92" s="1156"/>
      <c r="E92" s="1156"/>
      <c r="F92" s="1156"/>
      <c r="G92" s="1156"/>
      <c r="H92" s="1156"/>
      <c r="I92" s="1156"/>
      <c r="J92" s="1156"/>
      <c r="K92" s="1156"/>
      <c r="L92" s="1313"/>
      <c r="M92" s="1314"/>
      <c r="N92" s="3109" t="s">
        <v>2834</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2835</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2836</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2837</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2838</v>
      </c>
      <c r="O96" s="3181">
        <v>0.5</v>
      </c>
      <c r="P96" s="3181"/>
      <c r="Q96" s="901"/>
      <c r="R96" s="3182" t="s">
        <v>2843</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2839</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2840</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2841</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2815</v>
      </c>
      <c r="D100" s="2107" t="s">
        <v>2816</v>
      </c>
      <c r="E100" s="1091"/>
      <c r="F100" s="1091"/>
      <c r="G100" s="1091"/>
      <c r="H100" s="1091"/>
      <c r="I100" s="1091"/>
      <c r="J100" s="1091"/>
      <c r="K100" s="1184"/>
      <c r="L100" s="1185"/>
      <c r="M100" s="1186"/>
      <c r="N100" s="3109" t="s">
        <v>2842</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0(含)-100</v>
      </c>
      <c r="D102" s="1166" t="str">
        <f t="shared" ref="D102:L102" si="24">D103&amp;"(含)"&amp;"-"&amp;E103</f>
        <v>100(含)-300</v>
      </c>
      <c r="E102" s="1166" t="str">
        <f t="shared" si="24"/>
        <v>300(含)-500</v>
      </c>
      <c r="F102" s="1166" t="str">
        <f t="shared" si="24"/>
        <v>500(含)-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100</v>
      </c>
      <c r="E103" s="1134">
        <v>300</v>
      </c>
      <c r="F103" s="1134">
        <v>500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v>99</v>
      </c>
      <c r="E104" s="1147">
        <v>98</v>
      </c>
      <c r="F104" s="1147">
        <v>97</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2817</v>
      </c>
      <c r="D105" s="2106" t="s">
        <v>2818</v>
      </c>
      <c r="E105" s="2108" t="s">
        <v>2819</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5">C106-$K34</f>
        <v>100</v>
      </c>
      <c r="E106" s="1151">
        <f t="shared" si="25"/>
        <v>100</v>
      </c>
      <c r="F106" s="1151">
        <f t="shared" si="25"/>
        <v>100</v>
      </c>
      <c r="G106" s="1151">
        <f t="shared" si="25"/>
        <v>100</v>
      </c>
      <c r="H106" s="1151">
        <f t="shared" si="25"/>
        <v>100</v>
      </c>
      <c r="I106" s="1151">
        <f t="shared" si="25"/>
        <v>100</v>
      </c>
      <c r="J106" s="1151">
        <f t="shared" si="25"/>
        <v>100</v>
      </c>
      <c r="K106" s="1151">
        <f t="shared" si="25"/>
        <v>100</v>
      </c>
      <c r="L106" s="1151">
        <f t="shared" si="25"/>
        <v>100</v>
      </c>
      <c r="M106" s="1193">
        <f t="shared" si="25"/>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2820</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6">C108-$K35</f>
        <v>100</v>
      </c>
      <c r="E108" s="1151">
        <f t="shared" si="26"/>
        <v>100</v>
      </c>
      <c r="F108" s="1151">
        <f t="shared" si="26"/>
        <v>100</v>
      </c>
      <c r="G108" s="1151">
        <f t="shared" si="26"/>
        <v>100</v>
      </c>
      <c r="H108" s="1151">
        <f t="shared" si="26"/>
        <v>100</v>
      </c>
      <c r="I108" s="1151">
        <f t="shared" si="26"/>
        <v>100</v>
      </c>
      <c r="J108" s="1151">
        <f t="shared" si="26"/>
        <v>100</v>
      </c>
      <c r="K108" s="1151">
        <f t="shared" si="26"/>
        <v>100</v>
      </c>
      <c r="L108" s="1151">
        <f t="shared" si="26"/>
        <v>100</v>
      </c>
      <c r="M108" s="1193">
        <f t="shared" si="26"/>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100</v>
      </c>
      <c r="E111" s="1151">
        <f t="shared" ref="E111:M111" si="27">D111+$K36</f>
        <v>100</v>
      </c>
      <c r="F111" s="1151">
        <f t="shared" si="27"/>
        <v>100</v>
      </c>
      <c r="G111" s="1151">
        <f t="shared" si="27"/>
        <v>100</v>
      </c>
      <c r="H111" s="1151">
        <f t="shared" si="27"/>
        <v>100</v>
      </c>
      <c r="I111" s="1151">
        <f t="shared" si="27"/>
        <v>100</v>
      </c>
      <c r="J111" s="1151">
        <f t="shared" si="27"/>
        <v>100</v>
      </c>
      <c r="K111" s="1151">
        <f t="shared" si="27"/>
        <v>100</v>
      </c>
      <c r="L111" s="1151">
        <f t="shared" si="27"/>
        <v>100</v>
      </c>
      <c r="M111" s="1151">
        <f t="shared" si="27"/>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2821</v>
      </c>
      <c r="D112" s="2106" t="s">
        <v>2822</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100</v>
      </c>
      <c r="E113" s="1151">
        <f t="shared" ref="E113:M113" si="28">D113-$K37</f>
        <v>100</v>
      </c>
      <c r="F113" s="1151">
        <f t="shared" si="28"/>
        <v>100</v>
      </c>
      <c r="G113" s="1151">
        <f t="shared" si="28"/>
        <v>100</v>
      </c>
      <c r="H113" s="1151">
        <f t="shared" si="28"/>
        <v>100</v>
      </c>
      <c r="I113" s="1151">
        <f t="shared" si="28"/>
        <v>100</v>
      </c>
      <c r="J113" s="1151">
        <f t="shared" si="28"/>
        <v>100</v>
      </c>
      <c r="K113" s="1151">
        <f t="shared" si="28"/>
        <v>100</v>
      </c>
      <c r="L113" s="1151">
        <f t="shared" si="28"/>
        <v>100</v>
      </c>
      <c r="M113" s="1151">
        <f t="shared" si="28"/>
        <v>100</v>
      </c>
      <c r="V113" s="1089"/>
      <c r="W113" s="1089"/>
      <c r="X113" s="1089"/>
      <c r="Y113" s="1089"/>
      <c r="Z113" s="1089"/>
      <c r="AA113" s="1089"/>
      <c r="AB113" s="1089"/>
      <c r="AC113" s="1089"/>
    </row>
    <row r="114" spans="1:29" ht="15" thickTop="1">
      <c r="A114" s="991"/>
      <c r="B114" s="1148" t="s">
        <v>1610</v>
      </c>
      <c r="C114" s="2106" t="s">
        <v>2823</v>
      </c>
      <c r="D114" s="2106" t="s">
        <v>2824</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29">C115-$K38</f>
        <v>100</v>
      </c>
      <c r="E115" s="1151">
        <f t="shared" si="29"/>
        <v>100</v>
      </c>
      <c r="F115" s="1151">
        <f t="shared" si="29"/>
        <v>100</v>
      </c>
      <c r="G115" s="1151">
        <f t="shared" si="29"/>
        <v>100</v>
      </c>
      <c r="H115" s="1151">
        <f t="shared" si="29"/>
        <v>100</v>
      </c>
      <c r="I115" s="1151">
        <f t="shared" si="29"/>
        <v>100</v>
      </c>
      <c r="J115" s="1151">
        <f t="shared" si="29"/>
        <v>100</v>
      </c>
      <c r="K115" s="1151">
        <f t="shared" si="29"/>
        <v>100</v>
      </c>
      <c r="L115" s="1151">
        <f t="shared" si="29"/>
        <v>100</v>
      </c>
      <c r="M115" s="1193">
        <f t="shared" si="29"/>
        <v>100</v>
      </c>
      <c r="V115" s="1015"/>
      <c r="W115" s="1015"/>
      <c r="X115" s="1015"/>
      <c r="Y115" s="1015"/>
      <c r="Z115" s="1015"/>
      <c r="AA115" s="1015"/>
      <c r="AB115" s="1015"/>
      <c r="AC115" s="1015"/>
    </row>
    <row r="116" spans="1:29" ht="15" thickTop="1">
      <c r="A116" s="991"/>
      <c r="B116" s="1148" t="s">
        <v>1394</v>
      </c>
      <c r="C116" s="2106" t="s">
        <v>2825</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2826</v>
      </c>
      <c r="D120" s="2108" t="s">
        <v>2827</v>
      </c>
      <c r="E120" s="2108" t="s">
        <v>2808</v>
      </c>
      <c r="F120" s="2108" t="s">
        <v>2828</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100</v>
      </c>
      <c r="E121" s="1151">
        <f t="shared" ref="E121:M121" si="30">D121-$K41</f>
        <v>100</v>
      </c>
      <c r="F121" s="1151">
        <f t="shared" si="30"/>
        <v>100</v>
      </c>
      <c r="G121" s="1151">
        <f t="shared" si="30"/>
        <v>100</v>
      </c>
      <c r="H121" s="1151">
        <f t="shared" si="30"/>
        <v>100</v>
      </c>
      <c r="I121" s="1151">
        <f t="shared" si="30"/>
        <v>100</v>
      </c>
      <c r="J121" s="1151">
        <f t="shared" si="30"/>
        <v>100</v>
      </c>
      <c r="K121" s="1151">
        <f t="shared" si="30"/>
        <v>100</v>
      </c>
      <c r="L121" s="1151">
        <f t="shared" si="30"/>
        <v>100</v>
      </c>
      <c r="M121" s="1193">
        <f t="shared" si="30"/>
        <v>100</v>
      </c>
      <c r="V121" s="1089"/>
      <c r="W121" s="1089"/>
      <c r="X121" s="1089"/>
      <c r="Y121" s="1089"/>
      <c r="Z121" s="1089"/>
      <c r="AA121" s="1089"/>
      <c r="AB121" s="1089"/>
      <c r="AC121" s="1089"/>
    </row>
    <row r="122" spans="1:29" ht="15" thickTop="1">
      <c r="A122" s="991"/>
      <c r="B122" s="1148" t="s">
        <v>1397</v>
      </c>
      <c r="C122" s="2106" t="s">
        <v>2829</v>
      </c>
      <c r="D122" s="2106" t="s">
        <v>2830</v>
      </c>
      <c r="E122" s="2106" t="s">
        <v>2831</v>
      </c>
      <c r="F122" s="2108" t="s">
        <v>2832</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1">C123-$K42</f>
        <v>100</v>
      </c>
      <c r="E123" s="1151">
        <f t="shared" si="31"/>
        <v>100</v>
      </c>
      <c r="F123" s="1151">
        <f t="shared" si="31"/>
        <v>100</v>
      </c>
      <c r="G123" s="1151">
        <f t="shared" si="31"/>
        <v>100</v>
      </c>
      <c r="H123" s="1151">
        <f t="shared" si="31"/>
        <v>100</v>
      </c>
      <c r="I123" s="1151">
        <f t="shared" si="31"/>
        <v>100</v>
      </c>
      <c r="J123" s="1151">
        <f t="shared" si="31"/>
        <v>100</v>
      </c>
      <c r="K123" s="1151">
        <f t="shared" si="31"/>
        <v>100</v>
      </c>
      <c r="L123" s="1151">
        <f t="shared" si="31"/>
        <v>100</v>
      </c>
      <c r="M123" s="1193">
        <f t="shared" si="31"/>
        <v>100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EDD749C5-42A5-49AD-BE7F-B93BA7A9EA0F}">
      <formula1>项目类型</formula1>
    </dataValidation>
    <dataValidation type="list" allowBlank="1" showInputMessage="1" showErrorMessage="1" sqref="E1" xr:uid="{C3910D22-742E-442D-A661-881B1CCD697C}">
      <formula1>"项目模式,单套模式"</formula1>
    </dataValidation>
    <dataValidation type="list" allowBlank="1" showInputMessage="1" showErrorMessage="1" sqref="F1" xr:uid="{CF7886AC-BBCD-4016-83FC-DE20A591D05B}">
      <formula1>"售价,租金"</formula1>
    </dataValidation>
    <dataValidation type="list" allowBlank="1" showInputMessage="1" showErrorMessage="1" sqref="C2" xr:uid="{D0740ED4-4237-4BEF-BF9F-2B315DD319C1}">
      <formula1>"需扣减承租人权益,——"</formula1>
    </dataValidation>
    <dataValidation type="list" allowBlank="1" showInputMessage="1" showErrorMessage="1" sqref="F2" xr:uid="{9B149EF9-B953-4007-BF85-D462A1B40111}">
      <formula1>估价方法</formula1>
    </dataValidation>
    <dataValidation type="list" allowBlank="1" showInputMessage="1" showErrorMessage="1" sqref="C8 E8 G8 I8" xr:uid="{FE5149DD-D462-476D-ACC1-3D32AF4A5E77}">
      <formula1>商业交易情况</formula1>
    </dataValidation>
    <dataValidation type="list" allowBlank="1" showInputMessage="1" showErrorMessage="1" sqref="E9 G9 I9" xr:uid="{58E25DAD-3FD8-45A8-8A9C-3CCC344873D6}">
      <formula1>商业用途</formula1>
    </dataValidation>
    <dataValidation type="list" allowBlank="1" showInputMessage="1" showErrorMessage="1" sqref="C16 E16 G16 I16" xr:uid="{FF90F70F-D59A-4376-820A-995C2C45FDAF}">
      <formula1>商业繁华度</formula1>
    </dataValidation>
    <dataValidation type="list" allowBlank="1" showInputMessage="1" showErrorMessage="1" sqref="C18 E18 G18 I18" xr:uid="{9785B647-5615-4318-B628-C94BE71B13A6}">
      <formula1>交通便捷度</formula1>
    </dataValidation>
    <dataValidation type="list" allowBlank="1" showInputMessage="1" showErrorMessage="1" sqref="C20 E20 G20 I20" xr:uid="{6CD1ACEC-37A1-4DA7-8FDD-04C25E1C4787}">
      <formula1>公共配套设施</formula1>
    </dataValidation>
    <dataValidation type="list" allowBlank="1" showInputMessage="1" showErrorMessage="1" sqref="C22 E22 G22 I22" xr:uid="{C61EC0EE-9121-4273-B268-74CA2E67A218}">
      <formula1>基础设施水平</formula1>
    </dataValidation>
    <dataValidation type="list" allowBlank="1" showInputMessage="1" showErrorMessage="1" sqref="C24 E24 G24 I24" xr:uid="{10ECB8F4-F218-420D-906D-BC17894EF7A9}">
      <formula1>环境</formula1>
    </dataValidation>
    <dataValidation type="list" allowBlank="1" showInputMessage="1" showErrorMessage="1" sqref="C25 E25 G25 I25" xr:uid="{8C9A762C-8B68-4975-86BC-7B357CDCBB65}">
      <formula1>商业临街状况</formula1>
    </dataValidation>
    <dataValidation type="list" allowBlank="1" showInputMessage="1" showErrorMessage="1" sqref="C27 E27 G27 I27" xr:uid="{4A41B337-059B-4E23-8074-52A93001A46E}">
      <formula1>商业人流量</formula1>
    </dataValidation>
    <dataValidation type="list" allowBlank="1" showInputMessage="1" showErrorMessage="1" sqref="C28 E28 G28 I28" xr:uid="{E5A4CB0A-27FE-42AC-BD3C-0188FF889C6C}">
      <formula1>商业楼层</formula1>
    </dataValidation>
    <dataValidation type="list" allowBlank="1" showInputMessage="1" showErrorMessage="1" sqref="C32 E32 G32 I32" xr:uid="{8A9D9362-7CE8-4062-B7DA-372215FF7B27}">
      <formula1>商业类型</formula1>
    </dataValidation>
    <dataValidation type="list" allowBlank="1" showInputMessage="1" showErrorMessage="1" sqref="C34 E34 G34 I34" xr:uid="{DAC708E4-6794-4F13-A0DE-8EA8C71BCFFD}">
      <formula1>商业建筑结构</formula1>
    </dataValidation>
    <dataValidation type="list" allowBlank="1" showInputMessage="1" showErrorMessage="1" sqref="C35 E35 G35 I35" xr:uid="{6AFB1ECC-2F8E-4B17-AB33-597A05FF3C48}">
      <formula1>商业公共部分装修</formula1>
    </dataValidation>
    <dataValidation type="list" allowBlank="1" showInputMessage="1" showErrorMessage="1" sqref="C37 E37 G37 I37" xr:uid="{127FDB66-5844-4367-9557-7639FFDFE1EA}">
      <formula1>商业基础设施水平</formula1>
    </dataValidation>
    <dataValidation type="list" allowBlank="1" showInputMessage="1" showErrorMessage="1" sqref="C38 E38 G38 I38" xr:uid="{A162DFB9-8182-47F1-9CDB-11C499DB9A98}">
      <formula1>商业业态</formula1>
    </dataValidation>
    <dataValidation type="list" allowBlank="1" showInputMessage="1" showErrorMessage="1" sqref="C39 E39 G39 I39" xr:uid="{1B100D65-1F09-4A3C-B80B-F8582A2FEDCF}">
      <formula1>商业层高</formula1>
    </dataValidation>
    <dataValidation type="list" allowBlank="1" showInputMessage="1" showErrorMessage="1" sqref="C41 E41 G41 I41" xr:uid="{C60B044B-29B1-4EDA-A655-1C8C4223C959}">
      <formula1>商业进深比</formula1>
    </dataValidation>
    <dataValidation type="list" allowBlank="1" showInputMessage="1" showErrorMessage="1" sqref="C42 E42 G42 I42" xr:uid="{B160F951-A34A-4C05-A53D-4132AC3B23FC}">
      <formula1>商业内部装修</formula1>
    </dataValidation>
    <dataValidation type="list" allowBlank="1" showInputMessage="1" showErrorMessage="1" sqref="C43 E43 G43 I43" xr:uid="{A9ABB3D3-9D65-4E30-BCE9-BAC8DE1A7016}">
      <formula1>内部装修维护情况</formula1>
    </dataValidation>
    <dataValidation type="list" allowBlank="1" showInputMessage="1" showErrorMessage="1" sqref="D48" xr:uid="{01935412-1205-45C3-A75C-557F2344A7D3}">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4FC1-BF2A-4310-866A-33B0F23C3619}">
  <sheetPr codeName="Sheet51">
    <tabColor rgb="FF92D050"/>
  </sheetPr>
  <dimension ref="A1:AK83"/>
  <sheetViews>
    <sheetView view="pageBreakPreview" zoomScale="70" zoomScaleNormal="70" workbookViewId="0">
      <selection activeCell="D10" sqref="D10"/>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408.98270000000002</v>
      </c>
      <c r="C2" s="1833" t="s">
        <v>1149</v>
      </c>
      <c r="D2" s="1834">
        <f ca="1">C40+J29+L46</f>
        <v>4089827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255514</v>
      </c>
      <c r="D5" s="1849" t="s">
        <v>1159</v>
      </c>
      <c r="E5" s="1850"/>
      <c r="F5" s="1851"/>
      <c r="G5" s="714"/>
      <c r="H5" s="1846">
        <v>1</v>
      </c>
      <c r="I5" s="1847" t="s">
        <v>1158</v>
      </c>
      <c r="J5" s="1848">
        <f ca="1">J6+J10+J12</f>
        <v>0</v>
      </c>
      <c r="K5" s="1849" t="s">
        <v>1159</v>
      </c>
      <c r="L5" s="1850"/>
      <c r="M5" s="1851"/>
    </row>
    <row r="6" spans="1:37" ht="18" customHeight="1">
      <c r="A6" s="1852" t="s">
        <v>905</v>
      </c>
      <c r="B6" s="3380" t="s">
        <v>1160</v>
      </c>
      <c r="C6" s="1853">
        <f ca="1">ROUND(F6*F8*F7*(1-F9),0)</f>
        <v>255195</v>
      </c>
      <c r="D6" s="1854" t="s">
        <v>1439</v>
      </c>
      <c r="E6" s="1855" t="s">
        <v>1162</v>
      </c>
      <c r="F6" s="1856">
        <f ca="1">INDIRECT("'数据-取费表'!u"&amp;$G$1)</f>
        <v>5</v>
      </c>
      <c r="G6" s="714"/>
      <c r="H6" s="1852" t="s">
        <v>905</v>
      </c>
      <c r="I6" s="3380" t="s">
        <v>1160</v>
      </c>
      <c r="J6" s="1926">
        <f ca="1">ROUND(M6*M8*M7*(1-M9),0)</f>
        <v>0</v>
      </c>
      <c r="K6" s="1996" t="s">
        <v>1440</v>
      </c>
      <c r="L6" s="1855" t="s">
        <v>1162</v>
      </c>
      <c r="M6" s="1856">
        <f ca="1">INDIRECT("'数据-取费表'!z"&amp;$G$1)</f>
        <v>0</v>
      </c>
    </row>
    <row r="7" spans="1:37" ht="18" customHeight="1">
      <c r="A7" s="1857"/>
      <c r="B7" s="3381"/>
      <c r="C7" s="1858"/>
      <c r="D7" s="1859"/>
      <c r="E7" s="1860" t="s">
        <v>1164</v>
      </c>
      <c r="F7" s="1856">
        <f ca="1">IF(INDIRECT("'数据-取费表'!ah"&amp;$G$1)="",INDIRECT("'数据-取费表'!k"&amp;$G$1),INDIRECT("'数据-取费表'!ah"&amp;$G$1))</f>
        <v>155.37</v>
      </c>
      <c r="G7" s="714"/>
      <c r="H7" s="1861"/>
      <c r="I7" s="3381"/>
      <c r="J7" s="1862"/>
      <c r="K7" s="1859"/>
      <c r="L7" s="1855" t="s">
        <v>1164</v>
      </c>
      <c r="M7" s="1856">
        <f ca="1">F7</f>
        <v>155.37</v>
      </c>
    </row>
    <row r="8" spans="1:37" ht="18" customHeight="1">
      <c r="A8" s="1861"/>
      <c r="B8" s="3381"/>
      <c r="C8" s="1862"/>
      <c r="D8" s="1859"/>
      <c r="E8" s="1855" t="s">
        <v>1165</v>
      </c>
      <c r="F8" s="1856">
        <f ca="1">INDIRECT("'数据-取费表'!ai"&amp;$G$1)</f>
        <v>365</v>
      </c>
      <c r="G8" s="714"/>
      <c r="H8" s="1861"/>
      <c r="I8" s="3381"/>
      <c r="J8" s="1862"/>
      <c r="K8" s="1859"/>
      <c r="L8" s="1855" t="s">
        <v>1165</v>
      </c>
      <c r="M8" s="1856">
        <f ca="1">INDIRECT("'数据-取费表'!ai"&amp;$G$1)</f>
        <v>365</v>
      </c>
    </row>
    <row r="9" spans="1:37" ht="18" customHeight="1">
      <c r="A9" s="1861"/>
      <c r="B9" s="3382"/>
      <c r="C9" s="1862"/>
      <c r="D9" s="1859"/>
      <c r="E9" s="1855" t="s">
        <v>1166</v>
      </c>
      <c r="F9" s="1863">
        <f ca="1">INDIRECT("'数据-取费表'!w"&amp;$G$1)</f>
        <v>0.1</v>
      </c>
      <c r="G9" s="714"/>
      <c r="H9" s="1861"/>
      <c r="I9" s="3382"/>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319</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2720</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2720</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-2720</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23041</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17013</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2720</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2555</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232473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4041223</v>
      </c>
      <c r="D40" s="1914" t="s">
        <v>1227</v>
      </c>
      <c r="E40" s="1855" t="s">
        <v>1228</v>
      </c>
      <c r="F40" s="1863">
        <f ca="1">INDIRECT("'数据-取费表'!I"&amp;$G$1)</f>
        <v>5.5E-2</v>
      </c>
      <c r="G40" s="714"/>
      <c r="H40" s="1927">
        <f ca="1">C39/C5</f>
        <v>0.90982490196231913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-409.01069999999999</v>
      </c>
      <c r="D45" s="1941" t="s">
        <v>1446</v>
      </c>
      <c r="E45" s="1937"/>
      <c r="F45" s="1937"/>
      <c r="O45" s="2021" t="s">
        <v>1246</v>
      </c>
      <c r="P45" s="1927"/>
      <c r="Q45" s="1927"/>
      <c r="R45" s="1927"/>
    </row>
    <row r="46" spans="1:18" s="714" customFormat="1" ht="13.8" thickBot="1">
      <c r="A46" s="1942" t="s">
        <v>1247</v>
      </c>
      <c r="C46" s="1943">
        <f ca="1">ROUND(C45,0)</f>
        <v>-409</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4041223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8"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3282318</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78" t="s">
        <v>1284</v>
      </c>
      <c r="L53" s="3379"/>
      <c r="O53" s="2033" t="s">
        <v>1109</v>
      </c>
      <c r="P53" s="2034" t="s">
        <v>1285</v>
      </c>
      <c r="Q53" s="2070">
        <f ca="1">Q47+Q48</f>
        <v>4089827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4041223</v>
      </c>
      <c r="R56" s="2070" t="s">
        <v>1256</v>
      </c>
    </row>
    <row r="57" spans="1:18" s="714" customFormat="1" ht="24.6"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3473</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4041223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2720</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4041223</v>
      </c>
      <c r="R65" s="2070" t="s">
        <v>1256</v>
      </c>
    </row>
    <row r="66" spans="1:18" s="714" customFormat="1" ht="16.2"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6" thickBot="1">
      <c r="A67" s="1972" t="s">
        <v>1219</v>
      </c>
      <c r="B67" s="2072" t="s">
        <v>1220</v>
      </c>
      <c r="C67" s="1468">
        <f ca="1">C48-C58</f>
        <v>-3473</v>
      </c>
      <c r="D67" s="1984" t="s">
        <v>1221</v>
      </c>
      <c r="E67" s="2073"/>
      <c r="F67" s="2074"/>
      <c r="O67" s="2041" t="s">
        <v>1267</v>
      </c>
      <c r="P67" s="2034" t="s">
        <v>1298</v>
      </c>
      <c r="Q67" s="2094">
        <f ca="1">L51</f>
        <v>3282318</v>
      </c>
      <c r="R67" s="2070" t="s">
        <v>1315</v>
      </c>
    </row>
    <row r="68" spans="1:18" s="714" customFormat="1" ht="16.2" thickBot="1">
      <c r="A68" s="2075" t="s">
        <v>1225</v>
      </c>
      <c r="B68" s="2076" t="s">
        <v>1242</v>
      </c>
      <c r="C68" s="1926">
        <f ca="1">ROUND(C67*(1-((1+F70)/(1+F68))^F69)/(F68-F70),0)</f>
        <v>-48884</v>
      </c>
      <c r="D68" s="1987" t="s">
        <v>1227</v>
      </c>
      <c r="E68" s="1977" t="s">
        <v>1228</v>
      </c>
      <c r="F68" s="1863">
        <f ca="1">F40</f>
        <v>5.5E-2</v>
      </c>
      <c r="O68" s="2041" t="s">
        <v>1271</v>
      </c>
      <c r="P68" s="2093" t="s">
        <v>1316</v>
      </c>
      <c r="Q68" s="2070">
        <f ca="1">ROUND(Q69-Q70*Q71,0)</f>
        <v>179795</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232473</v>
      </c>
      <c r="R69" s="2070" t="s">
        <v>1256</v>
      </c>
    </row>
    <row r="70" spans="1:18" s="714" customFormat="1" ht="13.8" thickBot="1">
      <c r="A70" s="2080"/>
      <c r="B70" s="2081"/>
      <c r="C70" s="1881"/>
      <c r="D70" s="1989"/>
      <c r="E70" s="1977" t="s">
        <v>1235</v>
      </c>
      <c r="F70" s="1967"/>
      <c r="O70" s="2041" t="s">
        <v>1320</v>
      </c>
      <c r="P70" s="2093" t="s">
        <v>1321</v>
      </c>
      <c r="Q70" s="2070">
        <f ca="1">C13</f>
        <v>752548</v>
      </c>
      <c r="R70" s="2070" t="s">
        <v>1256</v>
      </c>
    </row>
    <row r="71" spans="1:18" s="714" customFormat="1" ht="13.8" thickBot="1">
      <c r="A71" s="2082" t="s">
        <v>1237</v>
      </c>
      <c r="B71" s="2083" t="s">
        <v>1243</v>
      </c>
      <c r="C71" s="1933">
        <f ca="1">ROUND(C68/F71,0)</f>
        <v>-315</v>
      </c>
      <c r="D71" s="2084" t="s">
        <v>1244</v>
      </c>
      <c r="E71" s="2085" t="s">
        <v>1245</v>
      </c>
      <c r="F71" s="1936">
        <f ca="1">F43</f>
        <v>155.37</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52678</v>
      </c>
      <c r="D75" s="714"/>
      <c r="E75" s="714"/>
      <c r="F75" s="714"/>
      <c r="K75" s="2020"/>
      <c r="L75" s="714"/>
      <c r="O75" s="2033" t="s">
        <v>1109</v>
      </c>
      <c r="P75" s="2034" t="s">
        <v>1285</v>
      </c>
      <c r="Q75" s="2070">
        <f ca="1">Q65+Q66</f>
        <v>4041223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D3D11E1B-C1C2-4823-9A5A-9BE395AFF465}">
      <formula1>项目类型</formula1>
    </dataValidation>
    <dataValidation type="list" allowBlank="1" showInputMessage="1" showErrorMessage="1" sqref="D1" xr:uid="{72261FA7-8FC9-410D-B475-52B92C3B14AB}">
      <formula1>"在建（套用方法）,土地（套用方法）,——"</formula1>
    </dataValidation>
    <dataValidation type="list" allowBlank="1" showInputMessage="1" showErrorMessage="1" sqref="F10 M10 F53" xr:uid="{F4F876EB-A031-47BD-BECD-5B47209E06B0}">
      <formula1>"押一,押二,押三,自定义"</formula1>
    </dataValidation>
    <dataValidation type="list" allowBlank="1" showInputMessage="1" showErrorMessage="1" sqref="K19" xr:uid="{AD7CA357-C182-456F-BB01-605CA9D71020}">
      <formula1>"按租金收入计税,按房产原值计税"</formula1>
    </dataValidation>
    <dataValidation type="list" allowBlank="1" showInputMessage="1" showErrorMessage="1" sqref="D33 D61" xr:uid="{357FD2A5-5E99-48CD-AB2D-F9F77347B4FD}">
      <formula1>"按租金收入计税,按房产原值计税,按票据"</formula1>
    </dataValidation>
    <dataValidation type="list" allowBlank="1" showInputMessage="1" showErrorMessage="1" sqref="J47" xr:uid="{52275AA1-BC65-44D9-865E-6E5CE2E751D3}">
      <formula1>"钢,钢混,砖混"</formula1>
    </dataValidation>
    <dataValidation type="list" allowBlank="1" showInputMessage="1" showErrorMessage="1" sqref="J48" xr:uid="{4597171A-6134-4FBC-995D-9F9A94DB1E18}">
      <formula1>"非生产用房,生产用房,受腐蚀的生产用房"</formula1>
    </dataValidation>
    <dataValidation type="list" allowBlank="1" showInputMessage="1" showErrorMessage="1" sqref="L55" xr:uid="{1CB143EF-DCC1-4413-918C-BEA6532D3F9D}">
      <formula1>"比较法,基准地价,收益还原"</formula1>
    </dataValidation>
    <dataValidation type="list" allowBlank="1" showInputMessage="1" showErrorMessage="1" sqref="J56" xr:uid="{EA6B62AB-062D-4729-8B9F-8F70D9AE4ACA}">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15" t="s">
        <v>2633</v>
      </c>
      <c r="S1" s="3516"/>
      <c r="T1" s="3516"/>
      <c r="U1" s="3516"/>
      <c r="V1" s="3516"/>
      <c r="W1" s="3516"/>
      <c r="X1" s="246"/>
      <c r="Y1" s="3515" t="s">
        <v>2634</v>
      </c>
      <c r="Z1" s="3516"/>
      <c r="AA1" s="3516"/>
      <c r="AB1" s="3516"/>
      <c r="AC1" s="3516"/>
      <c r="AD1" s="3516"/>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15" t="s">
        <v>2633</v>
      </c>
      <c r="S29" s="3516"/>
      <c r="T29" s="3516"/>
      <c r="U29" s="3516"/>
      <c r="V29" s="3516"/>
      <c r="W29" s="3516"/>
      <c r="X29" s="246"/>
      <c r="Y29" s="3515" t="s">
        <v>2634</v>
      </c>
      <c r="Z29" s="3516"/>
      <c r="AA29" s="3516"/>
      <c r="AB29" s="3516"/>
      <c r="AC29" s="3516"/>
      <c r="AD29" s="3516"/>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7" t="s">
        <v>2660</v>
      </c>
      <c r="C1" s="3517"/>
      <c r="D1" s="3517"/>
      <c r="E1" s="3517"/>
      <c r="F1" s="3517"/>
      <c r="G1" s="3516" t="s">
        <v>2661</v>
      </c>
      <c r="H1" s="3516"/>
      <c r="I1" s="3516"/>
      <c r="J1" s="3516"/>
      <c r="K1" s="3516"/>
      <c r="L1" s="3516"/>
      <c r="N1" s="3516" t="s">
        <v>2632</v>
      </c>
      <c r="O1" s="3516"/>
      <c r="P1" s="3516"/>
      <c r="Q1" s="3516"/>
      <c r="S1" s="3516" t="s">
        <v>2662</v>
      </c>
      <c r="T1" s="3516"/>
      <c r="U1" s="3516"/>
      <c r="V1" s="3516"/>
      <c r="X1" s="3515" t="s">
        <v>2633</v>
      </c>
      <c r="Y1" s="3516"/>
      <c r="Z1" s="3516"/>
      <c r="AA1" s="3516"/>
      <c r="AB1" s="3516"/>
      <c r="AD1" s="3515" t="s">
        <v>2634</v>
      </c>
      <c r="AE1" s="3516"/>
      <c r="AF1" s="3516"/>
      <c r="AG1" s="3516"/>
      <c r="AH1" s="3516"/>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1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1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1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1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18"/>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1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1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0">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1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18"/>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18"/>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1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18"/>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1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1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1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1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18">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18">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18">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18">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1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1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1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18">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18">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18">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18">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18">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18">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18">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18">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2">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18">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18">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1">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2">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18">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18">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结果表110!D116</f>
        <v>出让国有建设用地使用权价值</v>
      </c>
      <c r="E2" s="3203"/>
      <c r="F2" s="3203" t="str">
        <f>结果表110!F116</f>
        <v>在建建筑物价值</v>
      </c>
      <c r="G2" s="3203"/>
      <c r="H2" s="3203" t="str">
        <f>IF(项目基本情况!B9="房地产市场价值","房地产市场价值","房地产价值")</f>
        <v>房地产价值</v>
      </c>
      <c r="I2" s="3203"/>
    </row>
    <row r="3" spans="1:9" ht="15.6">
      <c r="A3" s="3204"/>
      <c r="B3" s="3204"/>
      <c r="C3" s="3204"/>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807</v>
      </c>
      <c r="E4" s="3123">
        <f ca="1">结果表110!E118</f>
        <v>22704</v>
      </c>
      <c r="F4" s="3123">
        <f ca="1">结果表110!F118</f>
        <v>249</v>
      </c>
      <c r="G4" s="3123">
        <f ca="1">结果表110!G118</f>
        <v>7013</v>
      </c>
      <c r="H4" s="3123">
        <f ca="1">结果表110!H118</f>
        <v>1056</v>
      </c>
      <c r="I4" s="3123">
        <f ca="1">结果表110!I118</f>
        <v>29717</v>
      </c>
    </row>
    <row r="5" spans="1:9" ht="30" customHeight="1">
      <c r="A5" s="3204" t="s">
        <v>112</v>
      </c>
      <c r="B5" s="3204"/>
      <c r="C5" s="3204"/>
      <c r="D5" s="3204" t="str">
        <f ca="1">结果表110!D119</f>
        <v>捌佰零柒万元整</v>
      </c>
      <c r="E5" s="3204"/>
      <c r="F5" s="3204" t="str">
        <f ca="1">结果表110!F119</f>
        <v>贰佰肆拾玖万元整</v>
      </c>
      <c r="G5" s="3204"/>
      <c r="H5" s="3204" t="str">
        <f ca="1">结果表110!H119</f>
        <v>壹仟零伍拾陆万元整</v>
      </c>
      <c r="I5" s="3204"/>
    </row>
    <row r="6" spans="1:9" ht="15.6">
      <c r="A6" s="3205" t="str">
        <f>结果表110!A120</f>
        <v>估价师知悉的法定优先受偿款</v>
      </c>
      <c r="B6" s="3205"/>
      <c r="C6" s="3205"/>
      <c r="D6" s="3205">
        <f>结果表110!D120</f>
        <v>0</v>
      </c>
      <c r="E6" s="3205"/>
      <c r="F6" s="3205"/>
      <c r="G6" s="3205"/>
      <c r="H6" s="3205"/>
      <c r="I6" s="3205"/>
    </row>
    <row r="7" spans="1:9" ht="15">
      <c r="A7" s="3204" t="s">
        <v>112</v>
      </c>
      <c r="B7" s="3204"/>
      <c r="C7" s="3204"/>
      <c r="D7" s="3206" t="str">
        <f>结果表110!D121</f>
        <v>零元整</v>
      </c>
      <c r="E7" s="3207"/>
      <c r="F7" s="3207"/>
      <c r="G7" s="3207"/>
      <c r="H7" s="3207"/>
      <c r="I7" s="3208"/>
    </row>
    <row r="8" spans="1:9" ht="15.6">
      <c r="A8" s="3205" t="str">
        <f>结果表110!A122</f>
        <v>房地产抵押价值</v>
      </c>
      <c r="B8" s="3205"/>
      <c r="C8" s="3205"/>
      <c r="D8" s="3205">
        <f ca="1">结果表110!D122</f>
        <v>1056</v>
      </c>
      <c r="E8" s="3205"/>
      <c r="F8" s="3205"/>
      <c r="G8" s="3205"/>
      <c r="H8" s="3205"/>
      <c r="I8" s="3205"/>
    </row>
    <row r="9" spans="1:9" ht="15">
      <c r="A9" s="3204" t="s">
        <v>112</v>
      </c>
      <c r="B9" s="3204"/>
      <c r="C9" s="3204"/>
      <c r="D9" s="3204" t="str">
        <f ca="1">结果表110!D123</f>
        <v>壹仟零伍拾陆万元整</v>
      </c>
      <c r="E9" s="3204"/>
      <c r="F9" s="3204"/>
      <c r="G9" s="3204"/>
      <c r="H9" s="3204"/>
      <c r="I9" s="3204"/>
    </row>
    <row r="10" spans="1:9" ht="15.6">
      <c r="A10" s="3205" t="str">
        <f>结果表110!A124</f>
        <v/>
      </c>
      <c r="B10" s="3205"/>
      <c r="C10" s="3205"/>
      <c r="D10" s="3205" t="str">
        <f>结果表110!D124</f>
        <v>——</v>
      </c>
      <c r="E10" s="3205"/>
      <c r="F10" s="3205"/>
      <c r="G10" s="3205"/>
      <c r="H10" s="3205"/>
      <c r="I10" s="3205"/>
    </row>
    <row r="11" spans="1:9" ht="15">
      <c r="A11" s="3204" t="s">
        <v>112</v>
      </c>
      <c r="B11" s="3204"/>
      <c r="C11" s="3204"/>
      <c r="D11" s="3204" t="e">
        <f>结果表110!D125</f>
        <v>#VALUE!</v>
      </c>
      <c r="E11" s="3204"/>
      <c r="F11" s="3204"/>
      <c r="G11" s="3204"/>
      <c r="H11" s="3204"/>
      <c r="I11" s="3204"/>
    </row>
    <row r="12" spans="1:9" ht="15.6">
      <c r="A12" s="3205" t="str">
        <f>结果表110!A126</f>
        <v/>
      </c>
      <c r="B12" s="3205"/>
      <c r="C12" s="3205"/>
      <c r="D12" s="3205" t="str">
        <f>结果表110!D126</f>
        <v>——</v>
      </c>
      <c r="E12" s="3205"/>
      <c r="F12" s="3205"/>
      <c r="G12" s="3205"/>
      <c r="H12" s="3205"/>
      <c r="I12" s="3205"/>
    </row>
    <row r="13" spans="1:9" ht="15">
      <c r="A13" s="3209" t="s">
        <v>112</v>
      </c>
      <c r="B13" s="3209"/>
      <c r="C13" s="3209"/>
      <c r="D13" s="3209" t="e">
        <f>结果表110!D127</f>
        <v>#VALUE!</v>
      </c>
      <c r="E13" s="3209"/>
      <c r="F13" s="3209"/>
      <c r="G13" s="3209"/>
      <c r="H13" s="3209"/>
      <c r="I13" s="3209"/>
    </row>
    <row r="14" spans="1:9">
      <c r="A14" s="3210" t="s">
        <v>113</v>
      </c>
      <c r="B14" s="3210"/>
      <c r="C14" s="3210"/>
      <c r="D14" s="3210"/>
      <c r="E14" s="3210"/>
      <c r="F14" s="3210"/>
      <c r="G14" s="3210"/>
      <c r="H14" s="3210"/>
      <c r="I14" s="3210"/>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26" t="s">
        <v>2751</v>
      </c>
      <c r="B1" s="3526"/>
      <c r="C1" s="3526"/>
      <c r="D1" s="3526"/>
      <c r="E1" s="3526"/>
      <c r="F1" s="3526"/>
      <c r="G1" s="3527"/>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28"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29"/>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1" t="s">
        <v>114</v>
      </c>
      <c r="B1" s="3211"/>
      <c r="C1" s="3211"/>
      <c r="D1" s="3211"/>
    </row>
    <row r="2" spans="1:4" ht="17.399999999999999">
      <c r="A2" s="3212" t="s">
        <v>115</v>
      </c>
      <c r="B2" s="3212"/>
      <c r="C2" s="3212"/>
      <c r="D2" s="3212"/>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12" t="s">
        <v>121</v>
      </c>
      <c r="B6" s="3212"/>
      <c r="C6" s="3212"/>
      <c r="D6" s="3212"/>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13" t="s">
        <v>126</v>
      </c>
      <c r="B11" s="3214"/>
      <c r="C11" s="3214"/>
      <c r="D11" s="3214"/>
    </row>
    <row r="12" spans="1:4" ht="15.6">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4" t="str">
        <f>IF(项目基本情况!B8="抵押","4.本次评估估价师所知悉的法定优先受偿款情况说明如下：","——")</f>
        <v>4.本次评估估价师所知悉的法定优先受偿款情况说明如下：</v>
      </c>
      <c r="B14" s="3215"/>
      <c r="C14" s="3215"/>
      <c r="D14" s="3215"/>
    </row>
    <row r="15" spans="1:4" ht="42" customHeight="1">
      <c r="A15" s="321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127</v>
      </c>
      <c r="B16" s="3216"/>
      <c r="C16" s="3216"/>
      <c r="D16" s="3216"/>
    </row>
    <row r="17" spans="1:4" ht="144" customHeight="1">
      <c r="A17" s="3216" t="s">
        <v>128</v>
      </c>
      <c r="B17" s="3216"/>
      <c r="C17" s="3216"/>
      <c r="D17" s="3216"/>
    </row>
    <row r="18" spans="1:4" ht="15.75" customHeight="1">
      <c r="A18" s="3214" t="str">
        <f>IF(项目基本情况!B8="抵押",结果表110!K120,"——")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129</v>
      </c>
      <c r="B22" s="3219"/>
      <c r="C22" s="3219"/>
      <c r="D22" s="3219"/>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7">
        <v>42551</v>
      </c>
      <c r="D31" s="321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2" t="s">
        <v>146</v>
      </c>
      <c r="B15" s="3227" t="s">
        <v>147</v>
      </c>
      <c r="C15" s="3221"/>
    </row>
    <row r="16" spans="1:7" ht="14.4">
      <c r="A16" s="3223"/>
      <c r="B16" s="3227" t="s">
        <v>148</v>
      </c>
      <c r="C16" s="3221"/>
    </row>
    <row r="17" spans="1:3" ht="14.4">
      <c r="A17" s="3223"/>
      <c r="B17" s="3226" t="s">
        <v>149</v>
      </c>
      <c r="C17" s="3102" t="s">
        <v>146</v>
      </c>
    </row>
    <row r="18" spans="1:3" ht="14.4">
      <c r="A18" s="3223"/>
      <c r="B18" s="3226"/>
      <c r="C18" s="3102" t="s">
        <v>150</v>
      </c>
    </row>
    <row r="19" spans="1:3" ht="14.4">
      <c r="A19" s="3223"/>
      <c r="B19" s="3226"/>
      <c r="C19" s="3102" t="s">
        <v>151</v>
      </c>
    </row>
    <row r="20" spans="1:3" ht="14.4">
      <c r="A20" s="3224"/>
      <c r="B20" s="3220" t="s">
        <v>152</v>
      </c>
      <c r="C20" s="3221"/>
    </row>
    <row r="21" spans="1:3" ht="14.4">
      <c r="A21" s="3103" t="s">
        <v>153</v>
      </c>
      <c r="B21" s="3104"/>
      <c r="C21" s="3105"/>
    </row>
    <row r="22" spans="1:3" ht="14.4">
      <c r="A22" s="3225" t="s">
        <v>154</v>
      </c>
      <c r="B22" s="3220" t="s">
        <v>155</v>
      </c>
      <c r="C22" s="3221"/>
    </row>
    <row r="23" spans="1:3" ht="14.4">
      <c r="A23" s="3225"/>
      <c r="B23" s="3220" t="s">
        <v>156</v>
      </c>
      <c r="C23" s="3221"/>
    </row>
    <row r="24" spans="1:3" ht="14.4">
      <c r="A24" s="3225"/>
      <c r="B24" s="3220" t="s">
        <v>157</v>
      </c>
      <c r="C24" s="3221"/>
    </row>
    <row r="25" spans="1:3" ht="14.4">
      <c r="A25" s="3225"/>
      <c r="B25" s="3226" t="s">
        <v>158</v>
      </c>
      <c r="C25" s="3102" t="s">
        <v>159</v>
      </c>
    </row>
    <row r="26" spans="1:3" ht="14.4">
      <c r="A26" s="3225"/>
      <c r="B26" s="3226"/>
      <c r="C26" s="3102" t="s">
        <v>160</v>
      </c>
    </row>
    <row r="27" spans="1:3" ht="14.4">
      <c r="A27" s="3225"/>
      <c r="B27" s="3226"/>
      <c r="C27" s="3102" t="s">
        <v>161</v>
      </c>
    </row>
    <row r="28" spans="1:3" ht="14.4">
      <c r="A28" s="3225"/>
      <c r="B28" s="3226"/>
      <c r="C28" s="3102" t="s">
        <v>162</v>
      </c>
    </row>
    <row r="29" spans="1:3" ht="14.4">
      <c r="A29" s="3225"/>
      <c r="B29" s="3226"/>
      <c r="C29" s="3102" t="s">
        <v>163</v>
      </c>
    </row>
    <row r="30" spans="1:3" ht="14.4">
      <c r="A30" s="3225"/>
      <c r="B30" s="3226"/>
      <c r="C30" s="3102" t="s">
        <v>164</v>
      </c>
    </row>
    <row r="31" spans="1:3" ht="14.4">
      <c r="A31" s="3225"/>
      <c r="B31" s="3226"/>
      <c r="C31" s="3102" t="s">
        <v>165</v>
      </c>
    </row>
    <row r="32" spans="1:3" ht="14.4">
      <c r="A32" s="3225"/>
      <c r="B32" s="3226"/>
      <c r="C32" s="3102" t="s">
        <v>166</v>
      </c>
    </row>
    <row r="33" spans="1:3" ht="14.4">
      <c r="A33" s="3225"/>
      <c r="B33" s="3226"/>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45841</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28" t="s">
        <v>197</v>
      </c>
      <c r="B17" s="3228"/>
      <c r="C17" s="3228"/>
      <c r="D17" s="3228"/>
      <c r="E17" s="3228"/>
      <c r="F17" s="3228"/>
      <c r="G17" s="3228"/>
      <c r="H17" s="3228"/>
    </row>
    <row r="18" spans="1:8" ht="24" customHeight="1">
      <c r="A18" s="3229" t="s">
        <v>198</v>
      </c>
      <c r="B18" s="3229"/>
      <c r="C18" s="3229"/>
      <c r="D18" s="3071"/>
      <c r="E18" s="3230" t="s">
        <v>199</v>
      </c>
      <c r="F18" s="3229"/>
      <c r="G18" s="3229"/>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2025-07-03T02:37:52Z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