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E8BD5239-B398-4998-BDCB-C93C61A09C31}" xr6:coauthVersionLast="47" xr6:coauthVersionMax="47" xr10:uidLastSave="{00000000-0000-0000-0000-000000000000}"/>
  <bookViews>
    <workbookView xWindow="-108" yWindow="-108" windowWidth="23256" windowHeight="12576" tabRatio="854" firstSheet="17"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C33" i="82" l="1"/>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C62" i="86"/>
  <c r="C61" i="86"/>
  <c r="C60" i="86"/>
  <c r="Q59" i="86"/>
  <c r="K59" i="86"/>
  <c r="P74" i="86" s="1"/>
  <c r="Q58" i="86"/>
  <c r="Q51" i="86"/>
  <c r="J50" i="86"/>
  <c r="J49" i="86"/>
  <c r="M47" i="86"/>
  <c r="D46" i="86"/>
  <c r="C34" i="86"/>
  <c r="F33" i="86"/>
  <c r="F61" i="86" s="1"/>
  <c r="C33" i="86"/>
  <c r="C32" i="86"/>
  <c r="F23" i="86"/>
  <c r="D24" i="86" s="1"/>
  <c r="D23" i="86"/>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B94" i="85"/>
  <c r="B92" i="85"/>
  <c r="D91" i="85"/>
  <c r="E91" i="85" s="1"/>
  <c r="B90" i="85"/>
  <c r="D89" i="85"/>
  <c r="E89" i="85" s="1"/>
  <c r="F89" i="85" s="1"/>
  <c r="G89" i="85" s="1"/>
  <c r="B88" i="85"/>
  <c r="J26" i="85" s="1"/>
  <c r="W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H30" i="85"/>
  <c r="U30" i="85" s="1"/>
  <c r="F30" i="85"/>
  <c r="AA30" i="85" s="1"/>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J14" i="85"/>
  <c r="AC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c r="O53" i="84" s="1"/>
  <c r="N54" i="84"/>
  <c r="N53" i="84"/>
  <c r="K49" i="84"/>
  <c r="E48" i="84"/>
  <c r="N52" i="84" s="1"/>
  <c r="F33" i="84"/>
  <c r="D27" i="84"/>
  <c r="C25" i="84"/>
  <c r="C24" i="84"/>
  <c r="D17" i="84"/>
  <c r="C17" i="84"/>
  <c r="C18" i="84" s="1"/>
  <c r="D18" i="84" s="1"/>
  <c r="L4" i="84"/>
  <c r="K4" i="84"/>
  <c r="H1" i="84"/>
  <c r="Q7" i="1"/>
  <c r="Q8" i="1" s="1"/>
  <c r="F21" i="6"/>
  <c r="C33" i="85" s="1"/>
  <c r="F20" i="6"/>
  <c r="Q72" i="83"/>
  <c r="C62" i="83"/>
  <c r="F61" i="83"/>
  <c r="C61" i="83"/>
  <c r="C60" i="83"/>
  <c r="Q59" i="83"/>
  <c r="K59" i="83"/>
  <c r="P74" i="83" s="1"/>
  <c r="Q58" i="83"/>
  <c r="Q51" i="83"/>
  <c r="J50" i="83"/>
  <c r="J49" i="83"/>
  <c r="M47" i="83"/>
  <c r="D46" i="83"/>
  <c r="C34" i="83"/>
  <c r="F33" i="83"/>
  <c r="C33" i="83"/>
  <c r="C32" i="83"/>
  <c r="F23" i="83"/>
  <c r="D24" i="83" s="1"/>
  <c r="D23" i="83"/>
  <c r="D22"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F26" i="82" s="1"/>
  <c r="AA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J26" i="82"/>
  <c r="AC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E59" i="81"/>
  <c r="F56" i="81"/>
  <c r="O54" i="81" s="1"/>
  <c r="O55" i="81"/>
  <c r="N55" i="81"/>
  <c r="K55" i="81"/>
  <c r="J55" i="81"/>
  <c r="I55" i="81"/>
  <c r="F55" i="81" s="1"/>
  <c r="O53" i="81" s="1"/>
  <c r="N54" i="81"/>
  <c r="N53" i="81"/>
  <c r="K49" i="81"/>
  <c r="E48" i="81"/>
  <c r="N52" i="81" s="1"/>
  <c r="F33" i="81"/>
  <c r="D27" i="81"/>
  <c r="C25" i="81"/>
  <c r="C24" i="81"/>
  <c r="D17" i="81"/>
  <c r="C17" i="81"/>
  <c r="C18" i="81" s="1"/>
  <c r="D18" i="81" s="1"/>
  <c r="L4" i="81"/>
  <c r="K4" i="81"/>
  <c r="H1" i="81"/>
  <c r="D2" i="82"/>
  <c r="D2" i="85"/>
  <c r="F43" i="82" l="1"/>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AB44"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5"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U42" i="85" l="1"/>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AB15" i="82"/>
  <c r="U15" i="82"/>
  <c r="G77" i="82"/>
  <c r="F15" i="82"/>
  <c r="AC46" i="82"/>
  <c r="W46" i="82"/>
  <c r="AA27" i="82"/>
  <c r="S27" i="82"/>
  <c r="AB27" i="82"/>
  <c r="U27" i="82"/>
  <c r="S15" i="82" l="1"/>
  <c r="AA15" i="82"/>
  <c r="D3" i="4" l="1"/>
  <c r="W20" i="1"/>
  <c r="W21" i="1" l="1"/>
  <c r="G19" i="6"/>
  <c r="F19" i="6"/>
  <c r="T92" i="82" l="1"/>
  <c r="T92" i="85"/>
  <c r="W24" i="1"/>
  <c r="W22" i="1"/>
  <c r="W23" i="1"/>
  <c r="O97" i="33"/>
  <c r="O98" i="33"/>
  <c r="O99" i="33"/>
  <c r="C33" i="33"/>
  <c r="T95" i="85" l="1"/>
  <c r="T94" i="85"/>
  <c r="T93" i="85"/>
  <c r="H28" i="85"/>
  <c r="T97" i="85"/>
  <c r="F28" i="85"/>
  <c r="J28" i="85"/>
  <c r="T93" i="82"/>
  <c r="J28" i="82"/>
  <c r="H28" i="82"/>
  <c r="T95" i="82"/>
  <c r="F28" i="82"/>
  <c r="T94" i="82"/>
  <c r="T97"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B71" i="71"/>
  <c r="B70" i="71" s="1"/>
  <c r="Q70" i="71"/>
  <c r="P70" i="71"/>
  <c r="O70" i="71"/>
  <c r="N70" i="71"/>
  <c r="Q69" i="71"/>
  <c r="P69" i="71"/>
  <c r="O69" i="71"/>
  <c r="N69" i="71"/>
  <c r="D69" i="71"/>
  <c r="F68" i="71"/>
  <c r="V68" i="71" s="1"/>
  <c r="E68" i="71"/>
  <c r="C68" i="71"/>
  <c r="D68" i="71" s="1"/>
  <c r="B68" i="71"/>
  <c r="S68" i="71" s="1"/>
  <c r="F67" i="71"/>
  <c r="Q67" i="71" s="1"/>
  <c r="B67" i="71"/>
  <c r="F66" i="71"/>
  <c r="Q65"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S50" i="79" s="1"/>
  <c r="AG50" i="79" s="1"/>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S22" i="79" s="1"/>
  <c r="AG22" i="79" s="1"/>
  <c r="K22" i="79"/>
  <c r="I22" i="79"/>
  <c r="AC21" i="79"/>
  <c r="AB21" i="79"/>
  <c r="AA21" i="79"/>
  <c r="AD21" i="79" s="1"/>
  <c r="Z21" i="79"/>
  <c r="Y21" i="79"/>
  <c r="O21" i="79"/>
  <c r="N21" i="79"/>
  <c r="M21" i="79"/>
  <c r="L21" i="79"/>
  <c r="K21" i="79"/>
  <c r="R21" i="79" s="1"/>
  <c r="AF21" i="79" s="1"/>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U13" i="79" s="1"/>
  <c r="AI13" i="79" s="1"/>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N67" i="43"/>
  <c r="M67" i="43"/>
  <c r="K67" i="43"/>
  <c r="J67" i="43" s="1"/>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F13" i="40"/>
  <c r="S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J23" i="36"/>
  <c r="AC23" i="36" s="1"/>
  <c r="H23" i="36"/>
  <c r="AB23" i="36" s="1"/>
  <c r="F23" i="36"/>
  <c r="S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E64" i="35"/>
  <c r="F64" i="35" s="1"/>
  <c r="G64" i="35" s="1"/>
  <c r="D64" i="35"/>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J123" i="33"/>
  <c r="K123" i="33" s="1"/>
  <c r="L123" i="33" s="1"/>
  <c r="M123" i="33" s="1"/>
  <c r="D123" i="33"/>
  <c r="E123" i="33" s="1"/>
  <c r="F123" i="33" s="1"/>
  <c r="G123" i="33" s="1"/>
  <c r="H123" i="33" s="1"/>
  <c r="I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F31" i="21"/>
  <c r="Q30" i="21"/>
  <c r="Z30" i="21" s="1"/>
  <c r="Q29" i="21"/>
  <c r="Z29" i="21" s="1"/>
  <c r="J29" i="21"/>
  <c r="Q28" i="21"/>
  <c r="Z28" i="21" s="1"/>
  <c r="F28" i="21"/>
  <c r="AA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H14" i="21"/>
  <c r="Q13" i="21"/>
  <c r="Z13" i="21" s="1"/>
  <c r="Q12" i="21"/>
  <c r="Z12" i="21" s="1"/>
  <c r="Q11" i="21"/>
  <c r="Z11" i="21" s="1"/>
  <c r="J11" i="21"/>
  <c r="H11" i="21"/>
  <c r="AB11" i="21" s="1"/>
  <c r="F11" i="21"/>
  <c r="AA11" i="21" s="1"/>
  <c r="Q10" i="21"/>
  <c r="Z10" i="21" s="1"/>
  <c r="J10" i="21"/>
  <c r="W10" i="21" s="1"/>
  <c r="H10" i="21"/>
  <c r="AB10" i="21" s="1"/>
  <c r="F10" i="21"/>
  <c r="AA10" i="21" s="1"/>
  <c r="Q9" i="21"/>
  <c r="Z9" i="21" s="1"/>
  <c r="H9" i="2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J19" i="34"/>
  <c r="W19" i="34" s="1"/>
  <c r="H19" i="34"/>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H104" i="9"/>
  <c r="D101" i="9"/>
  <c r="C101" i="9"/>
  <c r="C91" i="9"/>
  <c r="E90" i="9"/>
  <c r="D89" i="9"/>
  <c r="C89" i="9" s="1"/>
  <c r="C87" i="9" s="1"/>
  <c r="C94"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B9" i="1"/>
  <c r="E9" i="1" s="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L534" i="3" s="1"/>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A76" i="3" s="1"/>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L39" i="3" s="1"/>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A18" i="3" s="1"/>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A1" i="52"/>
  <c r="D11" i="53"/>
  <c r="B27" i="72" s="1"/>
  <c r="D10" i="53"/>
  <c r="B26" i="72" s="1"/>
  <c r="B8" i="53"/>
  <c r="B23" i="72" s="1"/>
  <c r="A3" i="53"/>
  <c r="A2" i="53"/>
  <c r="B19" i="72" s="1"/>
  <c r="A22" i="51"/>
  <c r="B17" i="72" s="1"/>
  <c r="A21" i="51"/>
  <c r="B16" i="72" s="1"/>
  <c r="A20" i="51"/>
  <c r="B15" i="72" s="1"/>
  <c r="A3" i="51"/>
  <c r="B49" i="48"/>
  <c r="B5" i="72" s="1"/>
  <c r="B40" i="48"/>
  <c r="B3" i="72" s="1"/>
  <c r="B74" i="72"/>
  <c r="B69" i="72"/>
  <c r="B68" i="72"/>
  <c r="B63" i="72"/>
  <c r="B62" i="72"/>
  <c r="B50" i="72"/>
  <c r="B46" i="72"/>
  <c r="B44" i="72"/>
  <c r="B42" i="72"/>
  <c r="B10" i="72"/>
  <c r="B8" i="72"/>
  <c r="B13" i="76"/>
  <c r="D2" i="36"/>
  <c r="B8" i="76"/>
  <c r="AO9" i="1"/>
  <c r="E12" i="76"/>
  <c r="B10" i="76"/>
  <c r="AO11" i="1"/>
  <c r="E2" i="68"/>
  <c r="B12" i="76"/>
  <c r="D2" i="33"/>
  <c r="E2" i="69"/>
  <c r="D2" i="37"/>
  <c r="E10" i="76"/>
  <c r="AO13" i="1"/>
  <c r="B7" i="76"/>
  <c r="B11" i="76"/>
  <c r="D2" i="35"/>
  <c r="B9" i="76"/>
  <c r="E11" i="76"/>
  <c r="AO10" i="1"/>
  <c r="D2" i="34"/>
  <c r="E9" i="76"/>
  <c r="AO12" i="1"/>
  <c r="F20" i="31"/>
  <c r="E7" i="76"/>
  <c r="E8" i="76"/>
  <c r="D2" i="21"/>
  <c r="E13" i="76"/>
  <c r="AB27" i="40" l="1"/>
  <c r="U27" i="40"/>
  <c r="BL167" i="3"/>
  <c r="G494" i="3"/>
  <c r="U32" i="37"/>
  <c r="J12" i="39"/>
  <c r="AC12" i="39" s="1"/>
  <c r="BA120" i="3"/>
  <c r="BL243" i="3"/>
  <c r="BL315" i="3"/>
  <c r="U22" i="35"/>
  <c r="U45" i="79"/>
  <c r="AI45" i="79" s="1"/>
  <c r="G526" i="3"/>
  <c r="G587" i="3"/>
  <c r="BL99" i="3"/>
  <c r="BA581" i="3"/>
  <c r="BA584" i="3"/>
  <c r="AZ584" i="3" s="1"/>
  <c r="J28" i="34"/>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AZ112" i="3" s="1"/>
  <c r="BL536" i="3"/>
  <c r="BA567" i="3"/>
  <c r="H31" i="34"/>
  <c r="U31" i="34" s="1"/>
  <c r="H47" i="34"/>
  <c r="AA15" i="21"/>
  <c r="H28" i="21"/>
  <c r="BA25" i="3"/>
  <c r="BA52" i="3"/>
  <c r="G55" i="3"/>
  <c r="G269" i="3"/>
  <c r="BA288" i="3"/>
  <c r="AZ288" i="3" s="1"/>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AZ394" i="3" s="1"/>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AZ56" i="3" s="1"/>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AZ162" i="3" s="1"/>
  <c r="BL235" i="3"/>
  <c r="G264" i="3"/>
  <c r="BA308" i="3"/>
  <c r="BA324" i="3"/>
  <c r="BA360" i="3"/>
  <c r="AZ360" i="3" s="1"/>
  <c r="G385" i="3"/>
  <c r="BL472" i="3"/>
  <c r="BA548" i="3"/>
  <c r="AZ548" i="3" s="1"/>
  <c r="S28" i="21"/>
  <c r="H35" i="35"/>
  <c r="U35" i="35" s="1"/>
  <c r="V21" i="79"/>
  <c r="AJ21" i="79" s="1"/>
  <c r="U68" i="71"/>
  <c r="E67" i="71"/>
  <c r="E66" i="71" s="1"/>
  <c r="P66" i="71" s="1"/>
  <c r="G76" i="3"/>
  <c r="BL85" i="3"/>
  <c r="BA122" i="3"/>
  <c r="BL172" i="3"/>
  <c r="BL174" i="3"/>
  <c r="BA180" i="3"/>
  <c r="BA200" i="3"/>
  <c r="BA241" i="3"/>
  <c r="AZ241" i="3" s="1"/>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L110" i="3"/>
  <c r="AC28" i="37"/>
  <c r="W28" i="37"/>
  <c r="U17" i="40"/>
  <c r="AB17" i="40"/>
  <c r="G498" i="3"/>
  <c r="U23" i="36"/>
  <c r="AC32" i="82"/>
  <c r="W32" i="82"/>
  <c r="G48" i="3"/>
  <c r="BA513" i="3"/>
  <c r="W38" i="34"/>
  <c r="BL46" i="3"/>
  <c r="AC28" i="34"/>
  <c r="W28" i="34"/>
  <c r="M56" i="84"/>
  <c r="N56" i="81"/>
  <c r="K56" i="81"/>
  <c r="J56" i="81"/>
  <c r="J57" i="81" s="1"/>
  <c r="J59" i="81" s="1"/>
  <c r="J61" i="81" s="1"/>
  <c r="N56" i="84"/>
  <c r="M56" i="81"/>
  <c r="K56" i="84"/>
  <c r="J56" i="84"/>
  <c r="J57" i="84" s="1"/>
  <c r="J59" i="84" s="1"/>
  <c r="J61" i="84" s="1"/>
  <c r="G353" i="3"/>
  <c r="BA379" i="3"/>
  <c r="AZ379" i="3" s="1"/>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AZ22" i="3" s="1"/>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AZ51" i="3" s="1"/>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AZ304" i="3" s="1"/>
  <c r="G332" i="3"/>
  <c r="BL540" i="3"/>
  <c r="BA577" i="3"/>
  <c r="AZ577" i="3" s="1"/>
  <c r="S49" i="79"/>
  <c r="AG49" i="79" s="1"/>
  <c r="Y11" i="71"/>
  <c r="Z11" i="71" s="1"/>
  <c r="Y15" i="71"/>
  <c r="Z15" i="71" s="1"/>
  <c r="BA37" i="3"/>
  <c r="G64" i="3"/>
  <c r="BA90" i="3"/>
  <c r="BL93" i="3"/>
  <c r="BL171" i="3"/>
  <c r="BL522" i="3"/>
  <c r="BA546" i="3"/>
  <c r="AZ546" i="3" s="1"/>
  <c r="BA28" i="3"/>
  <c r="BL60" i="3"/>
  <c r="AZ60" i="3" s="1"/>
  <c r="BA79" i="3"/>
  <c r="G104" i="3"/>
  <c r="BA179" i="3"/>
  <c r="BA262" i="3"/>
  <c r="BL283" i="3"/>
  <c r="BA564" i="3"/>
  <c r="AZ564" i="3" s="1"/>
  <c r="BA586" i="3"/>
  <c r="W39" i="34"/>
  <c r="AC39" i="34"/>
  <c r="R14" i="77"/>
  <c r="R25" i="77" s="1"/>
  <c r="AC3" i="79"/>
  <c r="U38" i="79"/>
  <c r="AI38" i="79" s="1"/>
  <c r="U44" i="79"/>
  <c r="AI44" i="79" s="1"/>
  <c r="V72" i="71"/>
  <c r="F71" i="71"/>
  <c r="F70" i="71" s="1"/>
  <c r="BA197" i="3"/>
  <c r="BA213" i="3"/>
  <c r="AZ213" i="3" s="1"/>
  <c r="G276" i="3"/>
  <c r="BA284" i="3"/>
  <c r="AZ284" i="3" s="1"/>
  <c r="BL285" i="3"/>
  <c r="BL323" i="3"/>
  <c r="BL558" i="3"/>
  <c r="D51" i="78"/>
  <c r="C51" i="78" s="1"/>
  <c r="C56" i="78" s="1"/>
  <c r="C58" i="78" s="1"/>
  <c r="BL62" i="3"/>
  <c r="BA68" i="3"/>
  <c r="AZ68" i="3" s="1"/>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40" i="71"/>
  <c r="S40" i="71" s="1"/>
  <c r="BA560" i="3"/>
  <c r="S15" i="79"/>
  <c r="AG15" i="79" s="1"/>
  <c r="Y3" i="79"/>
  <c r="B27" i="71"/>
  <c r="B26" i="71" s="1"/>
  <c r="BE5" i="3"/>
  <c r="BA132" i="3"/>
  <c r="G135" i="3"/>
  <c r="G146" i="3"/>
  <c r="BA154" i="3"/>
  <c r="BA163" i="3"/>
  <c r="BA181" i="3"/>
  <c r="BL211" i="3"/>
  <c r="G240" i="3"/>
  <c r="BA248" i="3"/>
  <c r="AZ248" i="3" s="1"/>
  <c r="BL249" i="3"/>
  <c r="BA268" i="3"/>
  <c r="AZ268" i="3" s="1"/>
  <c r="BL269" i="3"/>
  <c r="G340" i="3"/>
  <c r="BA348" i="3"/>
  <c r="AZ348" i="3" s="1"/>
  <c r="BL391" i="3"/>
  <c r="BL411" i="3"/>
  <c r="BA457" i="3"/>
  <c r="BA459" i="3"/>
  <c r="G460" i="3"/>
  <c r="BA475" i="3"/>
  <c r="G514" i="3"/>
  <c r="BA538" i="3"/>
  <c r="AZ538" i="3" s="1"/>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AZ179" i="3" s="1"/>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AZ77" i="3" s="1"/>
  <c r="BA84" i="3"/>
  <c r="AZ84" i="3" s="1"/>
  <c r="BA86" i="3"/>
  <c r="AZ86" i="3" s="1"/>
  <c r="BA87" i="3"/>
  <c r="BA89" i="3"/>
  <c r="AZ89" i="3" s="1"/>
  <c r="BA92" i="3"/>
  <c r="AZ92" i="3" s="1"/>
  <c r="BA94" i="3"/>
  <c r="BA95" i="3"/>
  <c r="BL95" i="3"/>
  <c r="BL96" i="3"/>
  <c r="BL97" i="3"/>
  <c r="BL98" i="3"/>
  <c r="G100" i="3"/>
  <c r="BA102" i="3"/>
  <c r="BA103" i="3"/>
  <c r="BA108" i="3"/>
  <c r="AZ108" i="3" s="1"/>
  <c r="BA110" i="3"/>
  <c r="BA111" i="3"/>
  <c r="BL111" i="3"/>
  <c r="G116" i="3"/>
  <c r="BA118" i="3"/>
  <c r="AZ118" i="3" s="1"/>
  <c r="BA119" i="3"/>
  <c r="BA121" i="3"/>
  <c r="G128" i="3"/>
  <c r="BA130" i="3"/>
  <c r="BL148" i="3"/>
  <c r="AZ148" i="3" s="1"/>
  <c r="BL149" i="3"/>
  <c r="BL150" i="3"/>
  <c r="BL155" i="3"/>
  <c r="BL163" i="3"/>
  <c r="G197" i="3"/>
  <c r="AZ203"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AZ43" i="3" s="1"/>
  <c r="BA45" i="3"/>
  <c r="BL52" i="3"/>
  <c r="BL53" i="3"/>
  <c r="BL54" i="3"/>
  <c r="G56" i="3"/>
  <c r="BA58" i="3"/>
  <c r="AZ58" i="3" s="1"/>
  <c r="BA59" i="3"/>
  <c r="BA61" i="3"/>
  <c r="AZ61" i="3" s="1"/>
  <c r="BL68" i="3"/>
  <c r="BL69" i="3"/>
  <c r="BL70" i="3"/>
  <c r="BA73" i="3"/>
  <c r="BL80" i="3"/>
  <c r="AZ80" i="3" s="1"/>
  <c r="BL81" i="3"/>
  <c r="AZ81" i="3" s="1"/>
  <c r="BL82" i="3"/>
  <c r="G84" i="3"/>
  <c r="BA85" i="3"/>
  <c r="G92" i="3"/>
  <c r="BA93" i="3"/>
  <c r="AZ93" i="3" s="1"/>
  <c r="BA96" i="3"/>
  <c r="AZ96" i="3" s="1"/>
  <c r="BA98" i="3"/>
  <c r="AZ98" i="3" s="1"/>
  <c r="BA99" i="3"/>
  <c r="BA101" i="3"/>
  <c r="AZ101" i="3" s="1"/>
  <c r="BL104" i="3"/>
  <c r="BL105" i="3"/>
  <c r="AZ105" i="3" s="1"/>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AZ27" i="3" s="1"/>
  <c r="BA29" i="3"/>
  <c r="G35" i="3"/>
  <c r="BA36" i="3"/>
  <c r="AZ36" i="3" s="1"/>
  <c r="BA38" i="3"/>
  <c r="BA39" i="3"/>
  <c r="AZ39" i="3" s="1"/>
  <c r="BA41" i="3"/>
  <c r="G47" i="3"/>
  <c r="BL48" i="3"/>
  <c r="BL49" i="3"/>
  <c r="G50" i="3"/>
  <c r="BL50" i="3"/>
  <c r="AZ50" i="3" s="1"/>
  <c r="G52" i="3"/>
  <c r="BA54" i="3"/>
  <c r="BA55" i="3"/>
  <c r="AZ55" i="3" s="1"/>
  <c r="BA57" i="3"/>
  <c r="AZ57" i="3" s="1"/>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AZ97" i="3" s="1"/>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AZ254" i="3" s="1"/>
  <c r="G256" i="3"/>
  <c r="BA258" i="3"/>
  <c r="AZ258" i="3" s="1"/>
  <c r="BA259" i="3"/>
  <c r="AZ259" i="3" s="1"/>
  <c r="BA261" i="3"/>
  <c r="G268" i="3"/>
  <c r="BA270" i="3"/>
  <c r="BA271" i="3"/>
  <c r="AZ271" i="3" s="1"/>
  <c r="BA273" i="3"/>
  <c r="BL280" i="3"/>
  <c r="BL281" i="3"/>
  <c r="BL282" i="3"/>
  <c r="G284" i="3"/>
  <c r="BA286" i="3"/>
  <c r="AZ286" i="3" s="1"/>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AZ131" i="3" s="1"/>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AZ282" i="3" s="1"/>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AZ376" i="3" s="1"/>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AZ183" i="3" s="1"/>
  <c r="BA185" i="3"/>
  <c r="AZ185" i="3" s="1"/>
  <c r="G191" i="3"/>
  <c r="BL192" i="3"/>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AZ253" i="3" s="1"/>
  <c r="G259" i="3"/>
  <c r="BL260" i="3"/>
  <c r="AZ260" i="3" s="1"/>
  <c r="BL261" i="3"/>
  <c r="G262" i="3"/>
  <c r="BL262" i="3"/>
  <c r="BA266" i="3"/>
  <c r="AZ266" i="3" s="1"/>
  <c r="BA267" i="3"/>
  <c r="BL267" i="3"/>
  <c r="G271" i="3"/>
  <c r="BL272" i="3"/>
  <c r="BL273" i="3"/>
  <c r="G274" i="3"/>
  <c r="BL274" i="3"/>
  <c r="BA278" i="3"/>
  <c r="AZ278" i="3" s="1"/>
  <c r="BA279" i="3"/>
  <c r="AZ279" i="3" s="1"/>
  <c r="BA281" i="3"/>
  <c r="AZ281" i="3" s="1"/>
  <c r="G287" i="3"/>
  <c r="BL288" i="3"/>
  <c r="BL289" i="3"/>
  <c r="G290" i="3"/>
  <c r="BL290" i="3"/>
  <c r="AZ290" i="3" s="1"/>
  <c r="BA293" i="3"/>
  <c r="G299" i="3"/>
  <c r="BA300" i="3"/>
  <c r="AZ300" i="3" s="1"/>
  <c r="BA301" i="3"/>
  <c r="BA310" i="3"/>
  <c r="BA311" i="3"/>
  <c r="BL311" i="3"/>
  <c r="BL312" i="3"/>
  <c r="BL314" i="3"/>
  <c r="BA318" i="3"/>
  <c r="BA319" i="3"/>
  <c r="G325" i="3"/>
  <c r="BA326" i="3"/>
  <c r="AZ326" i="3" s="1"/>
  <c r="BA327" i="3"/>
  <c r="BL332" i="3"/>
  <c r="AZ332" i="3" s="1"/>
  <c r="BL334" i="3"/>
  <c r="BA337" i="3"/>
  <c r="BA344" i="3"/>
  <c r="AZ344" i="3" s="1"/>
  <c r="BA345" i="3"/>
  <c r="G352" i="3"/>
  <c r="G354" i="3"/>
  <c r="BA354" i="3"/>
  <c r="BA355" i="3"/>
  <c r="AZ355" i="3" s="1"/>
  <c r="G360" i="3"/>
  <c r="G362" i="3"/>
  <c r="BA362" i="3"/>
  <c r="AZ362" i="3" s="1"/>
  <c r="BA363" i="3"/>
  <c r="G369" i="3"/>
  <c r="BA370" i="3"/>
  <c r="AZ370" i="3" s="1"/>
  <c r="BA371" i="3"/>
  <c r="AZ371" i="3" s="1"/>
  <c r="G376" i="3"/>
  <c r="BA380" i="3"/>
  <c r="G382" i="3"/>
  <c r="BA382" i="3"/>
  <c r="BA383" i="3"/>
  <c r="BL384" i="3"/>
  <c r="BL386" i="3"/>
  <c r="BA389" i="3"/>
  <c r="BA414" i="3"/>
  <c r="BA415" i="3"/>
  <c r="AZ415" i="3" s="1"/>
  <c r="BA418" i="3"/>
  <c r="AZ418" i="3" s="1"/>
  <c r="BA419" i="3"/>
  <c r="AZ419" i="3" s="1"/>
  <c r="BA430" i="3"/>
  <c r="BA431" i="3"/>
  <c r="BL431" i="3"/>
  <c r="BL553" i="3"/>
  <c r="AB12" i="34"/>
  <c r="H44" i="34"/>
  <c r="U44" i="34" s="1"/>
  <c r="J44" i="34"/>
  <c r="AC8" i="21"/>
  <c r="W8" i="21"/>
  <c r="AC15" i="21"/>
  <c r="W15" i="21"/>
  <c r="U28" i="21"/>
  <c r="AB28" i="21"/>
  <c r="K143" i="21"/>
  <c r="K144" i="21"/>
  <c r="AA26" i="33"/>
  <c r="S26" i="33"/>
  <c r="S45" i="39"/>
  <c r="AA45" i="39"/>
  <c r="E71" i="71"/>
  <c r="E70" i="71" s="1"/>
  <c r="U72" i="71"/>
  <c r="G386" i="3"/>
  <c r="BA386" i="3"/>
  <c r="BA387" i="3"/>
  <c r="AZ387" i="3" s="1"/>
  <c r="BL392" i="3"/>
  <c r="AZ392" i="3" s="1"/>
  <c r="BL394" i="3"/>
  <c r="G396" i="3"/>
  <c r="BA397" i="3"/>
  <c r="BA404" i="3"/>
  <c r="AZ404" i="3" s="1"/>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AZ521" i="3" s="1"/>
  <c r="BL525" i="3"/>
  <c r="BA529" i="3"/>
  <c r="BL533" i="3"/>
  <c r="AZ533" i="3" s="1"/>
  <c r="BL542" i="3"/>
  <c r="G543" i="3"/>
  <c r="G544" i="3"/>
  <c r="BA550" i="3"/>
  <c r="BA554" i="3"/>
  <c r="BA558" i="3"/>
  <c r="BA562" i="3"/>
  <c r="BA566" i="3"/>
  <c r="BA570" i="3"/>
  <c r="AZ570" i="3" s="1"/>
  <c r="BL572" i="3"/>
  <c r="BL573" i="3"/>
  <c r="BL574" i="3"/>
  <c r="AZ574" i="3" s="1"/>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AZ541" i="3" s="1"/>
  <c r="BA545" i="3"/>
  <c r="AZ545" i="3" s="1"/>
  <c r="BA576" i="3"/>
  <c r="BA580" i="3"/>
  <c r="BL583" i="3"/>
  <c r="AZ583" i="3" s="1"/>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AZ315" i="3" s="1"/>
  <c r="BA317" i="3"/>
  <c r="BL324" i="3"/>
  <c r="AZ324" i="3" s="1"/>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AZ497" i="3" s="1"/>
  <c r="BL501" i="3"/>
  <c r="BL510" i="3"/>
  <c r="G511" i="3"/>
  <c r="G512" i="3"/>
  <c r="BA517" i="3"/>
  <c r="G522" i="3"/>
  <c r="BA522" i="3"/>
  <c r="BL528" i="3"/>
  <c r="G529" i="3"/>
  <c r="BA530" i="3"/>
  <c r="BL537" i="3"/>
  <c r="G539" i="3"/>
  <c r="G540" i="3"/>
  <c r="G541" i="3"/>
  <c r="G542" i="3"/>
  <c r="BA542" i="3"/>
  <c r="BA572" i="3"/>
  <c r="AZ572" i="3" s="1"/>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AZ434" i="3" s="1"/>
  <c r="G436" i="3"/>
  <c r="G438" i="3"/>
  <c r="BA438" i="3"/>
  <c r="BA439" i="3"/>
  <c r="BL439" i="3"/>
  <c r="BA445" i="3"/>
  <c r="BA447" i="3"/>
  <c r="BA453" i="3"/>
  <c r="BA455" i="3"/>
  <c r="G457" i="3"/>
  <c r="BA458" i="3"/>
  <c r="BL458" i="3"/>
  <c r="BA460" i="3"/>
  <c r="BA465" i="3"/>
  <c r="BA467" i="3"/>
  <c r="AZ467" i="3" s="1"/>
  <c r="G471" i="3"/>
  <c r="G473" i="3"/>
  <c r="G474" i="3"/>
  <c r="G475" i="3"/>
  <c r="G476" i="3"/>
  <c r="G477" i="3"/>
  <c r="G478" i="3"/>
  <c r="BA479" i="3"/>
  <c r="BA481" i="3"/>
  <c r="AZ481" i="3" s="1"/>
  <c r="G485" i="3"/>
  <c r="G486" i="3"/>
  <c r="BA486" i="3"/>
  <c r="BA490" i="3"/>
  <c r="BA493" i="3"/>
  <c r="AZ493" i="3" s="1"/>
  <c r="BL497" i="3"/>
  <c r="G499" i="3"/>
  <c r="G500" i="3"/>
  <c r="G501" i="3"/>
  <c r="G502" i="3"/>
  <c r="BA502" i="3"/>
  <c r="BA509" i="3"/>
  <c r="BL513" i="3"/>
  <c r="G515" i="3"/>
  <c r="G516" i="3"/>
  <c r="G517" i="3"/>
  <c r="G518" i="3"/>
  <c r="BA518" i="3"/>
  <c r="AZ518" i="3" s="1"/>
  <c r="BA525" i="3"/>
  <c r="AZ525" i="3" s="1"/>
  <c r="BL529" i="3"/>
  <c r="G531" i="3"/>
  <c r="G532" i="3"/>
  <c r="G533" i="3"/>
  <c r="G534" i="3"/>
  <c r="BA534" i="3"/>
  <c r="AZ534" i="3" s="1"/>
  <c r="BA541" i="3"/>
  <c r="BL545" i="3"/>
  <c r="G547" i="3"/>
  <c r="G548" i="3"/>
  <c r="BL548" i="3"/>
  <c r="G550" i="3"/>
  <c r="G552" i="3"/>
  <c r="BL552" i="3"/>
  <c r="G554" i="3"/>
  <c r="G556" i="3"/>
  <c r="BL556" i="3"/>
  <c r="AZ556" i="3" s="1"/>
  <c r="G558" i="3"/>
  <c r="G560" i="3"/>
  <c r="BL560" i="3"/>
  <c r="AZ560" i="3" s="1"/>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B56" i="71"/>
  <c r="S56" i="71" s="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21" i="3"/>
  <c r="AZ170" i="3"/>
  <c r="AZ173" i="3"/>
  <c r="AZ249" i="3"/>
  <c r="AZ252" i="3"/>
  <c r="AZ257" i="3"/>
  <c r="AZ269" i="3"/>
  <c r="AZ420" i="3"/>
  <c r="G29" i="6"/>
  <c r="G28" i="6"/>
  <c r="AZ33" i="3"/>
  <c r="AZ45" i="3"/>
  <c r="AZ73" i="3"/>
  <c r="AZ117" i="3"/>
  <c r="G25" i="78"/>
  <c r="T35" i="4"/>
  <c r="A19" i="51" s="1"/>
  <c r="B14" i="72" s="1"/>
  <c r="AZ124" i="3"/>
  <c r="AZ126" i="3"/>
  <c r="AZ178" i="3"/>
  <c r="AZ192" i="3"/>
  <c r="AZ194" i="3"/>
  <c r="AZ340" i="3"/>
  <c r="AZ416" i="3"/>
  <c r="B15" i="78"/>
  <c r="E15" i="4"/>
  <c r="F6" i="1" s="1"/>
  <c r="I24" i="43" s="1"/>
  <c r="C24" i="43" s="1"/>
  <c r="BL15" i="3"/>
  <c r="BA23" i="3"/>
  <c r="AZ23" i="3" s="1"/>
  <c r="BL305" i="3"/>
  <c r="AZ305" i="3" s="1"/>
  <c r="BL309" i="3"/>
  <c r="AZ309" i="3" s="1"/>
  <c r="BL313" i="3"/>
  <c r="BL317" i="3"/>
  <c r="BL321" i="3"/>
  <c r="BL325" i="3"/>
  <c r="AZ325" i="3" s="1"/>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AB9" i="21"/>
  <c r="U9" i="21"/>
  <c r="BA14" i="3"/>
  <c r="AZ14" i="3" s="1"/>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AZ520" i="3" s="1"/>
  <c r="BA524" i="3"/>
  <c r="BA528" i="3"/>
  <c r="BA532" i="3"/>
  <c r="BA536" i="3"/>
  <c r="BA540" i="3"/>
  <c r="BA544" i="3"/>
  <c r="AZ544" i="3" s="1"/>
  <c r="BA549" i="3"/>
  <c r="BA553" i="3"/>
  <c r="AZ553" i="3" s="1"/>
  <c r="BA557" i="3"/>
  <c r="AZ557" i="3" s="1"/>
  <c r="BA561" i="3"/>
  <c r="AZ561" i="3" s="1"/>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3" i="73"/>
  <c r="M6" i="67"/>
  <c r="F7" i="73"/>
  <c r="D9" i="69"/>
  <c r="F4" i="73"/>
  <c r="M9" i="67"/>
  <c r="M23" i="67"/>
  <c r="F6" i="73"/>
  <c r="F5" i="73"/>
  <c r="F40" i="15"/>
  <c r="M29" i="15"/>
  <c r="D7" i="73"/>
  <c r="F16" i="15"/>
  <c r="C36" i="69"/>
  <c r="AB13" i="21" l="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C34" i="15"/>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13" i="15"/>
  <c r="F38" i="15"/>
  <c r="F6" i="67"/>
  <c r="M26" i="86"/>
  <c r="M28" i="83"/>
  <c r="L47" i="86"/>
  <c r="F16" i="67"/>
  <c r="F26" i="83"/>
  <c r="F38" i="67"/>
  <c r="F36" i="67"/>
  <c r="F6" i="86"/>
  <c r="C16" i="15"/>
  <c r="D4" i="73"/>
  <c r="M24" i="15"/>
  <c r="J15" i="83"/>
  <c r="M6" i="86"/>
  <c r="M28" i="15"/>
  <c r="M22" i="15"/>
  <c r="J15" i="86"/>
  <c r="M8" i="15"/>
  <c r="D3" i="73"/>
  <c r="F36" i="86"/>
  <c r="F8" i="86"/>
  <c r="M27" i="83"/>
  <c r="F9" i="15"/>
  <c r="F36" i="83"/>
  <c r="F9" i="83"/>
  <c r="F42" i="67"/>
  <c r="F26" i="67"/>
  <c r="L47" i="67"/>
  <c r="C76" i="15"/>
  <c r="C76" i="86"/>
  <c r="F40" i="83"/>
  <c r="M9" i="86"/>
  <c r="M28" i="67"/>
  <c r="M6" i="83"/>
  <c r="F36" i="15"/>
  <c r="M27" i="15"/>
  <c r="L48" i="15"/>
  <c r="F37" i="67"/>
  <c r="M23" i="86"/>
  <c r="F9" i="67"/>
  <c r="F40" i="67"/>
  <c r="M26" i="67"/>
  <c r="F6" i="15"/>
  <c r="M28" i="86"/>
  <c r="M26" i="83"/>
  <c r="M9" i="15"/>
  <c r="F13" i="83"/>
  <c r="L48" i="67"/>
  <c r="C76" i="83"/>
  <c r="L48" i="83"/>
  <c r="D5" i="73"/>
  <c r="F40" i="86"/>
  <c r="F37" i="83"/>
  <c r="M24" i="67"/>
  <c r="F8" i="67"/>
  <c r="F35" i="15"/>
  <c r="M8" i="83"/>
  <c r="F13" i="86"/>
  <c r="F38" i="86"/>
  <c r="F16" i="83"/>
  <c r="F41" i="15"/>
  <c r="F13" i="67"/>
  <c r="F38" i="83"/>
  <c r="F8" i="15"/>
  <c r="C14" i="15"/>
  <c r="F6" i="83"/>
  <c r="M29" i="86"/>
  <c r="F9" i="86"/>
  <c r="M23" i="15"/>
  <c r="L47" i="15"/>
  <c r="F26" i="15"/>
  <c r="M21" i="15"/>
  <c r="M8" i="67"/>
  <c r="M27" i="86"/>
  <c r="F43" i="15"/>
  <c r="M24" i="83"/>
  <c r="M23" i="83"/>
  <c r="J15" i="15"/>
  <c r="L48" i="86"/>
  <c r="M6" i="15"/>
  <c r="F37" i="15"/>
  <c r="F37" i="86"/>
  <c r="F16" i="86"/>
  <c r="F42" i="83"/>
  <c r="M27" i="67"/>
  <c r="J15" i="67"/>
  <c r="F7" i="15"/>
  <c r="F42" i="15"/>
  <c r="D6" i="73"/>
  <c r="F43" i="86"/>
  <c r="M8" i="86"/>
  <c r="L47" i="83"/>
  <c r="F26" i="86"/>
  <c r="M24" i="86"/>
  <c r="M9" i="83"/>
  <c r="F8" i="83"/>
  <c r="M22" i="83"/>
  <c r="M26" i="15"/>
  <c r="F42" i="86"/>
  <c r="F27" i="69"/>
  <c r="C76" i="67"/>
  <c r="M22" i="86"/>
  <c r="M22" i="67"/>
  <c r="F7" i="86"/>
  <c r="M7" i="15" l="1"/>
  <c r="F50" i="15"/>
  <c r="F65" i="15"/>
  <c r="J20" i="15"/>
  <c r="C27" i="15"/>
  <c r="N59" i="15"/>
  <c r="M59" i="15"/>
  <c r="L59" i="15"/>
  <c r="Q61" i="15" s="1"/>
  <c r="F51" i="15"/>
  <c r="C49" i="15" s="1"/>
  <c r="C61" i="15" s="1"/>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J6" i="15"/>
  <c r="J18" i="15" s="1"/>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J7" i="82"/>
  <c r="H7" i="82"/>
  <c r="F7" i="82"/>
  <c r="C77" i="84"/>
  <c r="C77" i="81"/>
  <c r="C74" i="81" s="1"/>
  <c r="C74" i="84"/>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Q74" i="15"/>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E32" i="77" s="1"/>
  <c r="V16" i="71"/>
  <c r="E15" i="71"/>
  <c r="E14" i="71" s="1"/>
  <c r="E13" i="71" s="1"/>
  <c r="E12" i="71" s="1"/>
  <c r="F59" i="15"/>
  <c r="M17" i="15"/>
  <c r="C33" i="15"/>
  <c r="F11" i="15"/>
  <c r="C10" i="15" s="1"/>
  <c r="AC6" i="3"/>
  <c r="H6" i="3"/>
  <c r="E58" i="40"/>
  <c r="E62" i="39"/>
  <c r="E60" i="40"/>
  <c r="E64" i="39"/>
  <c r="E59" i="40"/>
  <c r="E63" i="39"/>
  <c r="D116" i="43"/>
  <c r="E57" i="40"/>
  <c r="E61" i="39"/>
  <c r="E60" i="39"/>
  <c r="E56" i="40"/>
  <c r="AY478" i="3"/>
  <c r="AY462" i="3"/>
  <c r="AY459" i="3"/>
  <c r="AY443" i="3"/>
  <c r="AY438" i="3"/>
  <c r="AY408" i="3"/>
  <c r="AY395" i="3"/>
  <c r="AY226" i="3"/>
  <c r="AY523" i="3"/>
  <c r="AY522" i="3"/>
  <c r="AY377" i="3"/>
  <c r="AY361" i="3"/>
  <c r="AY329" i="3"/>
  <c r="AY321" i="3"/>
  <c r="AY257" i="3"/>
  <c r="AY252" i="3"/>
  <c r="AY249" i="3"/>
  <c r="AY244" i="3"/>
  <c r="AY241" i="3"/>
  <c r="AY236" i="3"/>
  <c r="AY233" i="3"/>
  <c r="AY26" i="3"/>
  <c r="AY539" i="3"/>
  <c r="AY538" i="3"/>
  <c r="AY405" i="3"/>
  <c r="AY397" i="3"/>
  <c r="AY373" i="3"/>
  <c r="AY365" i="3"/>
  <c r="AY65" i="3"/>
  <c r="AY53" i="3"/>
  <c r="AY49" i="3"/>
  <c r="AY37" i="3"/>
  <c r="AY33" i="3"/>
  <c r="AY25" i="3"/>
  <c r="AY21" i="3"/>
  <c r="AY68" i="3"/>
  <c r="AY60" i="3"/>
  <c r="AY52" i="3"/>
  <c r="AY36" i="3"/>
  <c r="AY28" i="3"/>
  <c r="AY24" i="3"/>
  <c r="BL6"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C16" i="86"/>
  <c r="G1" i="73"/>
  <c r="AY208" i="3" l="1"/>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31" i="86"/>
  <c r="C49" i="86"/>
  <c r="J6" i="86"/>
  <c r="J19" i="86" s="1"/>
  <c r="F1" i="15"/>
  <c r="Q52" i="15"/>
  <c r="Q73" i="15"/>
  <c r="AY13" i="3"/>
  <c r="AY84" i="3"/>
  <c r="AY176" i="3"/>
  <c r="AY69" i="3"/>
  <c r="AY194" i="3"/>
  <c r="AY30" i="3"/>
  <c r="AY158" i="3"/>
  <c r="AY260" i="3"/>
  <c r="AY143" i="3"/>
  <c r="AY238" i="3"/>
  <c r="AY247" i="3"/>
  <c r="AY486" i="3"/>
  <c r="AY572" i="3"/>
  <c r="AY48" i="3"/>
  <c r="AY411" i="3"/>
  <c r="J18" i="86"/>
  <c r="AY112" i="3"/>
  <c r="AY104" i="3"/>
  <c r="AY124" i="3"/>
  <c r="AY15" i="3"/>
  <c r="AY101" i="3"/>
  <c r="AY277" i="3"/>
  <c r="AY62" i="3"/>
  <c r="AY190" i="3"/>
  <c r="AY428" i="3"/>
  <c r="AY183" i="3"/>
  <c r="AY302" i="3"/>
  <c r="AY311" i="3"/>
  <c r="AY292" i="3"/>
  <c r="Q66" i="86"/>
  <c r="Q57" i="86"/>
  <c r="Q52" i="86"/>
  <c r="F1" i="86"/>
  <c r="Q61" i="86"/>
  <c r="Q74" i="86"/>
  <c r="AC7" i="82"/>
  <c r="V48" i="82" s="1"/>
  <c r="I48" i="82" s="1"/>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J17" i="15"/>
  <c r="J5" i="86"/>
  <c r="J26" i="86" s="1"/>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F22" i="68"/>
  <c r="C44" i="68" s="1"/>
  <c r="D41" i="68" s="1"/>
  <c r="F24" i="15"/>
  <c r="C24" i="15" s="1"/>
  <c r="F24" i="67"/>
  <c r="C24" i="67" s="1"/>
  <c r="F25" i="12"/>
  <c r="C26" i="12" s="1"/>
  <c r="D25" i="12" s="1"/>
  <c r="H7" i="33"/>
  <c r="AB7" i="33" s="1"/>
  <c r="H7" i="21"/>
  <c r="AB7" i="21" s="1"/>
  <c r="T48" i="21" s="1"/>
  <c r="G48" i="21" s="1"/>
  <c r="C53" i="15"/>
  <c r="C48" i="15" s="1"/>
  <c r="C66" i="15" s="1"/>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60" i="15"/>
  <c r="C59" i="15" s="1"/>
  <c r="F7" i="67"/>
  <c r="F43" i="67"/>
  <c r="C34" i="69"/>
  <c r="M29" i="67"/>
  <c r="F7" i="83"/>
  <c r="AE6" i="1"/>
  <c r="M29" i="83"/>
  <c r="D10" i="69"/>
  <c r="AE8" i="1"/>
  <c r="F43" i="83"/>
  <c r="AE7" i="1"/>
  <c r="W7" i="21" l="1"/>
  <c r="W7" i="34"/>
  <c r="C48" i="86"/>
  <c r="S7" i="34"/>
  <c r="D20" i="6"/>
  <c r="C59" i="86"/>
  <c r="F22" i="69"/>
  <c r="C26" i="69" s="1"/>
  <c r="D22" i="69" s="1"/>
  <c r="D26" i="6"/>
  <c r="L36" i="43"/>
  <c r="O36" i="43" s="1"/>
  <c r="F24" i="83"/>
  <c r="C24" i="83" s="1"/>
  <c r="F22" i="11"/>
  <c r="C23" i="11" s="1"/>
  <c r="J17" i="86"/>
  <c r="J24" i="86"/>
  <c r="W7" i="85"/>
  <c r="AC7" i="85"/>
  <c r="V48" i="85" s="1"/>
  <c r="I48" i="85" s="1"/>
  <c r="M19" i="84"/>
  <c r="C118" i="84" s="1"/>
  <c r="U7" i="21"/>
  <c r="R49" i="82"/>
  <c r="E48" i="82"/>
  <c r="G52" i="82"/>
  <c r="H52" i="82" s="1"/>
  <c r="G53" i="82"/>
  <c r="H53" i="82" s="1"/>
  <c r="I52" i="82"/>
  <c r="J52" i="82" s="1"/>
  <c r="I53" i="82"/>
  <c r="J53" i="82" s="1"/>
  <c r="AC7" i="36"/>
  <c r="V36" i="36" s="1"/>
  <c r="I36" i="36" s="1"/>
  <c r="AB7" i="85"/>
  <c r="T48" i="85" s="1"/>
  <c r="G48" i="85" s="1"/>
  <c r="U7" i="85"/>
  <c r="M19" i="81"/>
  <c r="C118" i="81" s="1"/>
  <c r="AA7" i="21"/>
  <c r="R48" i="21" s="1"/>
  <c r="S7" i="85"/>
  <c r="AA7" i="85"/>
  <c r="R48" i="85" s="1"/>
  <c r="C38" i="86"/>
  <c r="C66"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F41" i="68"/>
  <c r="U7" i="33"/>
  <c r="C26" i="68"/>
  <c r="D22" i="68" s="1"/>
  <c r="C23" i="68"/>
  <c r="C23" i="15"/>
  <c r="C29" i="15" s="1"/>
  <c r="C13" i="15" s="1"/>
  <c r="C37" i="15" s="1"/>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F41" i="67"/>
  <c r="F41" i="83"/>
  <c r="C16" i="67"/>
  <c r="C16" i="83"/>
  <c r="P36" i="43" l="1"/>
  <c r="C44" i="69"/>
  <c r="D41" i="69" s="1"/>
  <c r="M36" i="43"/>
  <c r="C24" i="69"/>
  <c r="L37" i="43"/>
  <c r="P37" i="43" s="1"/>
  <c r="Q36" i="43"/>
  <c r="N36" i="43"/>
  <c r="C26" i="11"/>
  <c r="D22" i="11" s="1"/>
  <c r="C25" i="11"/>
  <c r="C24" i="11"/>
  <c r="C44" i="11"/>
  <c r="D41" i="11" s="1"/>
  <c r="J29" i="86"/>
  <c r="F69" i="86"/>
  <c r="C48" i="82"/>
  <c r="C49" i="82"/>
  <c r="R49" i="85"/>
  <c r="E48" i="85"/>
  <c r="G53" i="85"/>
  <c r="H53" i="85" s="1"/>
  <c r="G52" i="85"/>
  <c r="H52" i="85" s="1"/>
  <c r="E53" i="82"/>
  <c r="F53" i="82" s="1"/>
  <c r="E52" i="82"/>
  <c r="F52" i="82" s="1"/>
  <c r="I52" i="85"/>
  <c r="J52" i="85" s="1"/>
  <c r="I53" i="85"/>
  <c r="J53" i="85" s="1"/>
  <c r="F69" i="83"/>
  <c r="M20" i="6"/>
  <c r="I20" i="6" s="1"/>
  <c r="L18" i="81" s="1"/>
  <c r="S7" i="1"/>
  <c r="E7" i="70" s="1"/>
  <c r="M21" i="6"/>
  <c r="I21" i="6" s="1"/>
  <c r="L18" i="84" s="1"/>
  <c r="S8" i="1"/>
  <c r="D30" i="6"/>
  <c r="C31" i="83"/>
  <c r="C10" i="83"/>
  <c r="C5" i="83" s="1"/>
  <c r="C38" i="83" s="1"/>
  <c r="F59" i="83"/>
  <c r="C49" i="83"/>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Q49" i="15"/>
  <c r="C57" i="15"/>
  <c r="C64" i="15" s="1"/>
  <c r="J14" i="15"/>
  <c r="J13" i="15" s="1"/>
  <c r="J23" i="15" s="1"/>
  <c r="J59" i="15"/>
  <c r="J60" i="15" s="1"/>
  <c r="Q48" i="15" s="1"/>
  <c r="C36" i="15"/>
  <c r="C30" i="15" s="1"/>
  <c r="C39" i="15" s="1"/>
  <c r="Q69" i="15" s="1"/>
  <c r="N37" i="43"/>
  <c r="D19" i="71"/>
  <c r="C18" i="71"/>
  <c r="F69" i="67"/>
  <c r="C33" i="69"/>
  <c r="C39" i="69" s="1"/>
  <c r="C43" i="69" s="1"/>
  <c r="C22" i="12"/>
  <c r="C35" i="11"/>
  <c r="C38" i="11"/>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7" i="67"/>
  <c r="E6" i="76"/>
  <c r="C14" i="83"/>
  <c r="C14" i="86"/>
  <c r="C14" i="67"/>
  <c r="C17" i="83"/>
  <c r="S20" i="6" l="1"/>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7" i="83"/>
  <c r="J19" i="83"/>
  <c r="J5" i="83"/>
  <c r="C59" i="83"/>
  <c r="C48" i="83"/>
  <c r="C66" i="83" s="1"/>
  <c r="C38" i="68"/>
  <c r="C33" i="68" s="1"/>
  <c r="C42" i="68" s="1"/>
  <c r="I54" i="34"/>
  <c r="J54" i="34" s="1"/>
  <c r="F50" i="69"/>
  <c r="I6" i="6"/>
  <c r="F50" i="11"/>
  <c r="C58" i="15"/>
  <c r="C67" i="15" s="1"/>
  <c r="C68" i="15" s="1"/>
  <c r="C71" i="15" s="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L46" i="15"/>
  <c r="J22" i="15"/>
  <c r="J16" i="15" s="1"/>
  <c r="J25" i="15" s="1"/>
  <c r="D18" i="71"/>
  <c r="C17" i="71"/>
  <c r="C42" i="69"/>
  <c r="C41" i="69" s="1"/>
  <c r="C27" i="12"/>
  <c r="C25" i="12"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B6" i="76"/>
  <c r="M21" i="86"/>
  <c r="F35" i="86"/>
  <c r="L51" i="15"/>
  <c r="L19" i="84" l="1"/>
  <c r="C19" i="86"/>
  <c r="C20" i="86" s="1"/>
  <c r="F63" i="86"/>
  <c r="J20" i="86"/>
  <c r="T16" i="1"/>
  <c r="E2" i="70"/>
  <c r="B2" i="85"/>
  <c r="B3" i="85"/>
  <c r="C19" i="83"/>
  <c r="C20" i="83" s="1"/>
  <c r="C26" i="83" s="1"/>
  <c r="J26" i="83"/>
  <c r="J29" i="83" s="1"/>
  <c r="J24" i="83"/>
  <c r="C31" i="11"/>
  <c r="Q67" i="15"/>
  <c r="L57" i="15"/>
  <c r="L60" i="15" s="1"/>
  <c r="Q66" i="15" s="1"/>
  <c r="Q75" i="15" s="1"/>
  <c r="C19" i="67"/>
  <c r="C20" i="67" s="1"/>
  <c r="C26" i="67" s="1"/>
  <c r="Q56" i="15"/>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C20" i="84"/>
  <c r="C19" i="84"/>
  <c r="C26" i="86" l="1"/>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C19" i="9"/>
  <c r="C19" i="81"/>
  <c r="B3" i="69"/>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67"/>
  <c r="F35" i="67"/>
  <c r="M21" i="83"/>
  <c r="C20" i="9"/>
  <c r="F35" i="83"/>
  <c r="J59" i="86" l="1"/>
  <c r="J60" i="86" s="1"/>
  <c r="Q48" i="86" s="1"/>
  <c r="J14" i="86"/>
  <c r="C13" i="86"/>
  <c r="C57" i="86"/>
  <c r="C64" i="86" s="1"/>
  <c r="Q49"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L46" i="86" l="1"/>
  <c r="C37" i="86"/>
  <c r="C30" i="86" s="1"/>
  <c r="C39" i="86" s="1"/>
  <c r="C56" i="86"/>
  <c r="C65" i="86" s="1"/>
  <c r="C58" i="86" s="1"/>
  <c r="C67" i="86" s="1"/>
  <c r="C68" i="86" s="1"/>
  <c r="C71" i="86" s="1"/>
  <c r="C75" i="86"/>
  <c r="Q70" i="86"/>
  <c r="J22" i="86"/>
  <c r="J13" i="86"/>
  <c r="J23"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L51" i="86"/>
  <c r="C80" i="86" l="1"/>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C32" i="9" s="1"/>
  <c r="I118" i="9" s="1"/>
  <c r="D11" i="71"/>
  <c r="C10" i="71"/>
  <c r="N65" i="40"/>
  <c r="O63" i="40"/>
  <c r="O65" i="40" s="1"/>
  <c r="N69" i="39"/>
  <c r="O67" i="39"/>
  <c r="O69" i="39" s="1"/>
  <c r="AO6" i="1"/>
  <c r="D34" i="9"/>
  <c r="D20" i="81"/>
  <c r="D34" i="81"/>
  <c r="D35" i="81"/>
  <c r="D20" i="84"/>
  <c r="D34" i="84"/>
  <c r="D19" i="81"/>
  <c r="D35" i="9"/>
  <c r="D35" i="84"/>
  <c r="D19" i="9"/>
  <c r="AO7" i="1"/>
  <c r="B2" i="86" l="1"/>
  <c r="H118" i="9"/>
  <c r="D14" i="74" s="1"/>
  <c r="E14" i="74"/>
  <c r="D103" i="84"/>
  <c r="G20" i="84"/>
  <c r="C32" i="84" s="1"/>
  <c r="G20" i="81"/>
  <c r="C32" i="81" s="1"/>
  <c r="C35" i="81" s="1"/>
  <c r="G118" i="81" s="1"/>
  <c r="F118" i="81" s="1"/>
  <c r="F119" i="81" s="1"/>
  <c r="D103" i="81"/>
  <c r="B7" i="70"/>
  <c r="D21" i="81"/>
  <c r="D102" i="81"/>
  <c r="D22" i="81"/>
  <c r="G19" i="81"/>
  <c r="G21" i="81" s="1"/>
  <c r="B6" i="70"/>
  <c r="D22" i="9"/>
  <c r="G19" i="9"/>
  <c r="G21" i="9" s="1"/>
  <c r="D102" i="9"/>
  <c r="D21" i="9"/>
  <c r="C35" i="9"/>
  <c r="D10" i="71"/>
  <c r="C9" i="71"/>
  <c r="H102" i="9"/>
  <c r="C105" i="9"/>
  <c r="I4" i="52"/>
  <c r="J7" i="39"/>
  <c r="F7" i="39"/>
  <c r="H7" i="39"/>
  <c r="F7" i="40"/>
  <c r="H7" i="40"/>
  <c r="J7" i="40"/>
  <c r="D19" i="84"/>
  <c r="AO8" i="1"/>
  <c r="B8" i="70" l="1"/>
  <c r="B2" i="70" s="1"/>
  <c r="B3" i="70" s="1"/>
  <c r="D102" i="84"/>
  <c r="D21" i="84"/>
  <c r="D22" i="84"/>
  <c r="G19" i="84"/>
  <c r="G21" i="84" s="1"/>
  <c r="I118" i="81"/>
  <c r="H102" i="81" s="1"/>
  <c r="I118" i="84"/>
  <c r="C35" i="84"/>
  <c r="G118" i="84" s="1"/>
  <c r="F118" i="84" s="1"/>
  <c r="F119" i="84" s="1"/>
  <c r="C34" i="8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105" i="81" l="1"/>
  <c r="H118" i="81"/>
  <c r="C104" i="81" s="1"/>
  <c r="E118" i="81"/>
  <c r="D118" i="81" s="1"/>
  <c r="D119" i="81" s="1"/>
  <c r="H118" i="84"/>
  <c r="H102" i="84"/>
  <c r="E118" i="84"/>
  <c r="D118" i="84" s="1"/>
  <c r="D119" i="84" s="1"/>
  <c r="C105" i="84"/>
  <c r="C34"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H101" i="81" l="1"/>
  <c r="D45" i="81" s="1"/>
  <c r="H119"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07" i="81" l="1"/>
  <c r="M49" i="81" s="1"/>
  <c r="M48" i="81"/>
  <c r="M48" i="84"/>
  <c r="D45" i="84"/>
  <c r="H107" i="84"/>
  <c r="C78" i="81"/>
  <c r="C73" i="81" s="1"/>
  <c r="D52" i="81"/>
  <c r="D59" i="81"/>
  <c r="M55" i="81" s="1"/>
  <c r="D55" i="81"/>
  <c r="M53" i="81" s="1"/>
  <c r="D53" i="81"/>
  <c r="C93" i="81"/>
  <c r="C86" i="81" s="1"/>
  <c r="C64" i="81"/>
  <c r="C63" i="81" s="1"/>
  <c r="C67" i="81" s="1"/>
  <c r="C68" i="81" s="1"/>
  <c r="D54" i="81" s="1"/>
  <c r="D48" i="81" s="1"/>
  <c r="M52" i="81" s="1"/>
  <c r="C85" i="81"/>
  <c r="C72" i="81"/>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H108" i="81" l="1"/>
  <c r="D122" i="81"/>
  <c r="D123" i="81" s="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C79" i="81"/>
  <c r="C95" i="81"/>
  <c r="C96" i="81" s="1"/>
  <c r="E96" i="81" s="1"/>
  <c r="E97" i="81" s="1"/>
  <c r="L65" i="81"/>
  <c r="M65" i="81" s="1"/>
  <c r="L63" i="81"/>
  <c r="M63" i="81" s="1"/>
  <c r="L68" i="81"/>
  <c r="M68" i="81" s="1"/>
  <c r="L67" i="81"/>
  <c r="M67" i="81" s="1"/>
  <c r="L66" i="81"/>
  <c r="M66" i="81" s="1"/>
  <c r="L64" i="81"/>
  <c r="M64" i="81" s="1"/>
  <c r="D5" i="71"/>
  <c r="M24" i="43" s="1"/>
  <c r="C81" i="9"/>
  <c r="D58" i="9" s="1"/>
  <c r="D56" i="9" s="1"/>
  <c r="M54" i="9" s="1"/>
  <c r="N57" i="9" s="1"/>
  <c r="N59" i="9" s="1"/>
  <c r="C96" i="9"/>
  <c r="E96" i="9" s="1"/>
  <c r="E97" i="9" s="1"/>
  <c r="M69" i="9"/>
  <c r="N69" i="9" s="1"/>
  <c r="G14" i="74"/>
  <c r="B6" i="74" s="1"/>
  <c r="F14" i="74"/>
  <c r="B5" i="74"/>
  <c r="E5" i="74" s="1"/>
  <c r="F5" i="74" s="1"/>
  <c r="C95" i="84" l="1"/>
  <c r="C96" i="84" s="1"/>
  <c r="E96" i="84" s="1"/>
  <c r="E97" i="84" s="1"/>
  <c r="C80" i="81"/>
  <c r="E80" i="81" s="1"/>
  <c r="E81" i="81" s="1"/>
  <c r="C79" i="84"/>
  <c r="L63" i="84"/>
  <c r="M63" i="84" s="1"/>
  <c r="L68" i="84"/>
  <c r="M68" i="84" s="1"/>
  <c r="L67" i="84"/>
  <c r="M67" i="84" s="1"/>
  <c r="L65" i="84"/>
  <c r="M65" i="84" s="1"/>
  <c r="L66" i="84"/>
  <c r="M66" i="84" s="1"/>
  <c r="L64" i="84"/>
  <c r="M64" i="84" s="1"/>
  <c r="C97" i="81"/>
  <c r="M69" i="81"/>
  <c r="N69" i="81" s="1"/>
  <c r="N61" i="9"/>
  <c r="H112" i="9" s="1"/>
  <c r="D21" i="53" s="1"/>
  <c r="B39" i="72" s="1"/>
  <c r="C97" i="9"/>
  <c r="T24" i="31"/>
  <c r="T22" i="31" s="1"/>
  <c r="N58" i="9"/>
  <c r="N60" i="9"/>
  <c r="P57" i="9"/>
  <c r="H111" i="9"/>
  <c r="D19" i="53" s="1"/>
  <c r="D6" i="74"/>
  <c r="C6" i="74"/>
  <c r="D5" i="74"/>
  <c r="C5" i="74"/>
  <c r="C81" i="81" l="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<sst xmlns="http://schemas.openxmlformats.org/spreadsheetml/2006/main" count="10331" uniqueCount="2871">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</sst>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1095</v>
      </c>
    </row>
    <row r="21" spans="1:2">
      <c r="A21" s="3167" t="s">
        <v>21</v>
      </c>
      <c r="B21" s="3168">
        <f ca="1">'预评函-2'!D7</f>
        <v>30818</v>
      </c>
    </row>
    <row r="22" spans="1:2">
      <c r="A22" s="3167" t="s">
        <v>22</v>
      </c>
      <c r="B22" s="3168" t="str">
        <f ca="1">'预评函-2'!D6</f>
        <v>壹仟零玖拾伍万元整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1095</v>
      </c>
    </row>
    <row r="31" spans="1:2">
      <c r="A31" s="3167" t="s">
        <v>31</v>
      </c>
      <c r="B31" s="3168">
        <f ca="1">'预评函-2'!D15</f>
        <v>30818</v>
      </c>
    </row>
    <row r="32" spans="1:2">
      <c r="A32" s="3167" t="s">
        <v>32</v>
      </c>
      <c r="B32" s="3168" t="str">
        <f ca="1">'预评函-2'!D14</f>
        <v>壹仟零玖拾伍万元整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846</v>
      </c>
    </row>
    <row r="48" spans="1:2">
      <c r="A48" s="3167" t="s">
        <v>48</v>
      </c>
      <c r="B48" s="3168">
        <f ca="1">'预评函-3'!E4</f>
        <v>23822</v>
      </c>
    </row>
    <row r="49" spans="1:2">
      <c r="A49" s="3167" t="s">
        <v>49</v>
      </c>
      <c r="B49" s="3168" t="str">
        <f ca="1">'预评函-3'!D5</f>
        <v>捌佰肆拾陆万元整</v>
      </c>
    </row>
    <row r="50" spans="1:2">
      <c r="A50" s="3167" t="s">
        <v>50</v>
      </c>
      <c r="B50" s="3168" t="str">
        <f>'预评函-3'!F2</f>
        <v>在建建筑物价值</v>
      </c>
    </row>
    <row r="51" spans="1:2">
      <c r="A51" s="3167" t="s">
        <v>51</v>
      </c>
      <c r="B51" s="3168">
        <f ca="1">'预评函-3'!F4</f>
        <v>249</v>
      </c>
    </row>
    <row r="52" spans="1:2">
      <c r="A52" s="3167" t="s">
        <v>52</v>
      </c>
      <c r="B52" s="3168">
        <f ca="1">'预评函-3'!G4</f>
        <v>6996</v>
      </c>
    </row>
    <row r="53" spans="1:2">
      <c r="A53" s="3167" t="s">
        <v>53</v>
      </c>
      <c r="B53" s="3168" t="str">
        <f ca="1">'预评函-3'!F5</f>
        <v>贰佰肆拾玖万元整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2856</v>
      </c>
      <c r="C19" s="3059"/>
    </row>
    <row r="20" spans="1:3">
      <c r="A20" s="3058" t="s">
        <v>316</v>
      </c>
      <c r="B20" s="3058" t="s">
        <v>2859</v>
      </c>
      <c r="C20" s="3059"/>
    </row>
    <row r="21" spans="1:3">
      <c r="A21" s="3058" t="s">
        <v>260</v>
      </c>
      <c r="B21" s="3060" t="s">
        <v>2857</v>
      </c>
      <c r="C21" s="3059"/>
    </row>
    <row r="22" spans="1:3">
      <c r="A22" s="3058" t="s">
        <v>317</v>
      </c>
      <c r="B22" s="3058" t="s">
        <v>2861</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5"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5"/>
      <c r="B54" s="3062" t="s">
        <v>330</v>
      </c>
      <c r="C54" s="3052" t="s">
        <v>331</v>
      </c>
    </row>
    <row r="55" spans="1:4">
      <c r="A55" s="3235"/>
      <c r="B55" s="3062" t="s">
        <v>332</v>
      </c>
      <c r="C55" s="3052" t="s">
        <v>333</v>
      </c>
    </row>
    <row r="56" spans="1:4">
      <c r="A56" s="3235"/>
      <c r="B56" s="3062" t="s">
        <v>334</v>
      </c>
      <c r="C56" s="3052" t="s">
        <v>335</v>
      </c>
    </row>
    <row r="57" spans="1:4">
      <c r="A57" s="3235"/>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6" t="s">
        <v>340</v>
      </c>
      <c r="J2" s="3236"/>
      <c r="K2" s="3236"/>
      <c r="L2" s="3236"/>
      <c r="M2" s="3236"/>
      <c r="N2" s="3236"/>
      <c r="O2" s="3236"/>
      <c r="P2" s="3236"/>
      <c r="Q2" s="3236"/>
      <c r="R2" s="3236"/>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9"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50"/>
      <c r="D1" s="3250"/>
      <c r="E1" s="3250"/>
      <c r="F1" s="3250"/>
      <c r="G1" s="3250"/>
      <c r="H1" s="3250"/>
      <c r="I1" s="3251"/>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4" t="s">
        <v>447</v>
      </c>
      <c r="E8" s="2901" t="s">
        <v>330</v>
      </c>
      <c r="F8" s="2902"/>
      <c r="G8" s="2658"/>
      <c r="H8" s="2658"/>
      <c r="I8" s="2658"/>
      <c r="J8" s="2522"/>
      <c r="K8" s="2976"/>
      <c r="L8" s="2974"/>
      <c r="M8" s="2974"/>
      <c r="N8" s="2522"/>
      <c r="O8" s="2239"/>
      <c r="P8" s="2522"/>
      <c r="Q8" s="2522"/>
      <c r="R8" s="2522"/>
    </row>
    <row r="9" spans="1:30">
      <c r="A9" s="2903" t="s">
        <v>448</v>
      </c>
      <c r="B9" s="2904" t="s">
        <v>330</v>
      </c>
      <c r="C9" s="2905"/>
      <c r="D9" s="3265"/>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2847</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2" t="s">
        <v>466</v>
      </c>
      <c r="C16" s="3253"/>
      <c r="D16" s="3254"/>
      <c r="E16" s="2927" t="s">
        <v>467</v>
      </c>
      <c r="F16" s="3255"/>
      <c r="G16" s="3256"/>
      <c r="H16" s="3256"/>
      <c r="I16" s="3257"/>
      <c r="J16" s="2522"/>
      <c r="K16" s="2982"/>
      <c r="L16" s="2239"/>
      <c r="M16" s="2239"/>
      <c r="N16" s="2522"/>
      <c r="O16" s="2239"/>
      <c r="P16" s="2522"/>
      <c r="Q16" s="2522"/>
      <c r="R16" s="2522"/>
    </row>
    <row r="17" spans="1:28">
      <c r="A17" s="1866" t="s">
        <v>468</v>
      </c>
      <c r="B17" s="1855" t="s">
        <v>469</v>
      </c>
      <c r="C17" s="1472">
        <f>'数据-汇总表'!E3</f>
        <v>885.63</v>
      </c>
      <c r="D17" s="1908" t="s">
        <v>470</v>
      </c>
      <c r="E17" s="3258" t="s">
        <v>471</v>
      </c>
      <c r="F17" s="3259"/>
      <c r="G17" s="3259"/>
      <c r="H17" s="3259"/>
      <c r="I17" s="3260"/>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1" t="s">
        <v>474</v>
      </c>
      <c r="F18" s="3262"/>
      <c r="G18" s="3262"/>
      <c r="H18" s="3262"/>
      <c r="I18" s="3263"/>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39" t="s">
        <v>480</v>
      </c>
      <c r="C20" s="3240"/>
      <c r="D20" s="3241" t="s">
        <v>481</v>
      </c>
      <c r="E20" s="3242"/>
      <c r="F20" s="2936" t="s">
        <v>482</v>
      </c>
      <c r="G20" s="2658"/>
      <c r="H20" s="2658"/>
      <c r="I20" s="2658"/>
      <c r="J20" s="2522"/>
      <c r="K20" s="3237"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37"/>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37"/>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5"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5"/>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5"/>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6"/>
      <c r="B30" s="1855" t="s">
        <v>499</v>
      </c>
      <c r="C30" s="3243"/>
      <c r="D30" s="3244"/>
      <c r="E30" s="2658"/>
      <c r="F30" s="2658"/>
      <c r="G30" s="2658"/>
      <c r="H30" s="2658"/>
      <c r="I30" s="2658"/>
      <c r="J30" s="2522"/>
      <c r="K30" s="2975"/>
      <c r="L30" s="2974"/>
      <c r="M30" s="2974"/>
      <c r="N30" s="2522"/>
      <c r="O30" s="2239"/>
      <c r="P30" s="2522"/>
      <c r="Q30" s="2522"/>
      <c r="R30" s="2522"/>
      <c r="S30" s="2522"/>
      <c r="T30" s="2522"/>
      <c r="U30" s="2522"/>
      <c r="V30" s="2522"/>
    </row>
    <row r="31" spans="1:28">
      <c r="A31" s="3247"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8"/>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8"/>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38" t="s">
        <v>510</v>
      </c>
      <c r="T34" s="1896" t="str">
        <f>NUMBERSTRING(7-K34,1)&amp;"通"</f>
        <v>七通</v>
      </c>
      <c r="U34" s="2522"/>
      <c r="V34" s="2522"/>
    </row>
    <row r="35" spans="1:30">
      <c r="A35" s="2961"/>
      <c r="B35" s="3238" t="s">
        <v>511</v>
      </c>
      <c r="C35" s="3238"/>
      <c r="D35" s="3238"/>
      <c r="E35" s="3238"/>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38"/>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5" t="s">
        <v>572</v>
      </c>
      <c r="B2" s="3275"/>
      <c r="C2" s="3275"/>
      <c r="D2" s="2424" t="s">
        <v>573</v>
      </c>
      <c r="E2" s="2734" t="s">
        <v>574</v>
      </c>
      <c r="F2" s="2597"/>
      <c r="G2" s="2735"/>
      <c r="H2" s="2736"/>
      <c r="I2" s="2333" t="s">
        <v>575</v>
      </c>
      <c r="J2" s="2597"/>
      <c r="K2" s="2597"/>
      <c r="L2" s="2597"/>
      <c r="M2" s="2597"/>
      <c r="N2" s="1071"/>
      <c r="O2" s="2597"/>
      <c r="P2" s="2597"/>
    </row>
    <row r="3" spans="1:16" ht="14.4">
      <c r="A3" s="3276" t="s">
        <v>576</v>
      </c>
      <c r="B3" s="3276"/>
      <c r="C3" s="3276"/>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77"/>
      <c r="B4" s="3278"/>
      <c r="C4" s="3279"/>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0" t="s">
        <v>581</v>
      </c>
      <c r="C5" s="3280"/>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0" t="s">
        <v>582</v>
      </c>
      <c r="C6" s="3280"/>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6"/>
      <c r="B7" s="3267"/>
      <c r="C7" s="3268"/>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69" t="s">
        <v>597</v>
      </c>
      <c r="L16" s="3270"/>
      <c r="M16" s="3270"/>
      <c r="N16" s="3270"/>
      <c r="O16" s="3270"/>
      <c r="P16" s="3271"/>
    </row>
    <row r="17" spans="1:19" ht="14.4">
      <c r="A17" s="2705" t="s">
        <v>598</v>
      </c>
      <c r="B17" s="2753" t="s">
        <v>599</v>
      </c>
      <c r="C17" s="2158" t="s">
        <v>600</v>
      </c>
      <c r="D17" s="2754" t="s">
        <v>573</v>
      </c>
      <c r="E17" s="2755" t="s">
        <v>574</v>
      </c>
      <c r="F17" s="2756"/>
      <c r="G17" s="2757"/>
      <c r="H17" s="2758" t="s">
        <v>601</v>
      </c>
      <c r="I17" s="2788" t="s">
        <v>602</v>
      </c>
      <c r="J17" s="2185"/>
      <c r="K17" s="3272" t="s">
        <v>603</v>
      </c>
      <c r="L17" s="3273"/>
      <c r="M17" s="3274"/>
      <c r="N17" s="3272" t="s">
        <v>604</v>
      </c>
      <c r="O17" s="3273"/>
      <c r="P17" s="3274"/>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T13" sqref="T13"/>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3.0000000000000001E-3</v>
      </c>
      <c r="AL6" s="2720">
        <v>1E-3</v>
      </c>
      <c r="AM6" s="2721">
        <v>0.01</v>
      </c>
      <c r="AN6" s="2722" t="s">
        <v>266</v>
      </c>
      <c r="AO6" s="1126">
        <f ca="1">SUMIF(INDIRECT("'"&amp;AN6&amp;"'"&amp;"!A:A"),"总价",INDIRECT("'"&amp;AN6&amp;"'"&amp;"!B:B"))</f>
        <v>935.31579999999997</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v>3.0000000000000001E-3</v>
      </c>
      <c r="AL7" s="2720">
        <v>1E-3</v>
      </c>
      <c r="AM7" s="2721">
        <v>0.01</v>
      </c>
      <c r="AN7" s="2722" t="s">
        <v>2858</v>
      </c>
      <c r="AO7" s="1126">
        <f t="shared" ref="AO7:AO13" ca="1" si="9">SUMIF(INDIRECT("'"&amp;AN7&amp;"'"&amp;"!A:A"),"总价",INDIRECT("'"&amp;AN7&amp;"'"&amp;"!B:B"))</f>
        <v>986.96270000000004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v>3.0000000000000001E-3</v>
      </c>
      <c r="AL8" s="2720">
        <v>1E-3</v>
      </c>
      <c r="AM8" s="2721">
        <v>0.01</v>
      </c>
      <c r="AN8" s="2722" t="s">
        <v>2860</v>
      </c>
      <c r="AO8" s="1126">
        <f t="shared" ca="1" si="9"/>
        <v>408.98270000000002</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2830</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2831</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2832</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2833</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2834</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2835</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2846</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1" t="s">
        <v>731</v>
      </c>
      <c r="B1" s="3282"/>
      <c r="C1" s="3282"/>
      <c r="D1" s="3282"/>
      <c r="E1" s="3282"/>
      <c r="F1" s="3282"/>
      <c r="G1" s="3282"/>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2852</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H36" sqref="H36"/>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1095</v>
      </c>
      <c r="C5" s="2490">
        <f ca="1">IF(B5=D14,结果表110!H102,ROUND(B5*10000/$B$1,0))</f>
        <v>30818</v>
      </c>
      <c r="D5" s="2490" t="e">
        <f ca="1">ROUND(B5*10000/$B$2,0)</f>
        <v>#DIV/0!</v>
      </c>
      <c r="E5" s="2491">
        <f ca="1">B5*10000</f>
        <v>10950000</v>
      </c>
      <c r="F5" s="3283" t="str">
        <f ca="1">NUMBERSTRING(INT(E5*10000),2)&amp;"元整"</f>
        <v>壹仟零玖拾伍亿元整</v>
      </c>
      <c r="G5" s="3284"/>
      <c r="H5" s="2492"/>
      <c r="I5" s="2492"/>
      <c r="J5" s="2492"/>
      <c r="K5" s="2492"/>
    </row>
    <row r="6" spans="1:11" ht="15.6">
      <c r="A6" s="2490" t="s">
        <v>756</v>
      </c>
      <c r="B6" s="2490">
        <f ca="1">SUM(G14:G23)</f>
        <v>1095</v>
      </c>
      <c r="C6" s="2490">
        <f ca="1">IF(B6=G14,结果表110!H108,ROUND(B6*10000/$B$1,0))</f>
        <v>30818</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3" t="str">
        <f>NUMBERSTRING(INT(E8*10000),2)&amp;"元整"</f>
        <v>零元整</v>
      </c>
      <c r="G8" s="3284"/>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1095</v>
      </c>
      <c r="E14" s="2501">
        <f ca="1">结果表110!I118</f>
        <v>30818</v>
      </c>
      <c r="F14" s="2501" t="e">
        <f ca="1">ROUND(D14*10000/C14,0)</f>
        <v>#DIV/0!</v>
      </c>
      <c r="G14" s="2501">
        <f ca="1">D14</f>
        <v>1095</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5" sqref="J25"/>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2845</v>
      </c>
      <c r="D4" s="2121" t="s">
        <v>266</v>
      </c>
      <c r="E4" s="3364" t="s">
        <v>783</v>
      </c>
      <c r="F4" s="3365"/>
      <c r="G4" s="3365"/>
      <c r="H4" s="3365"/>
      <c r="I4" s="3366"/>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1163.4598000000001</v>
      </c>
      <c r="D19" s="1245">
        <f ca="1">SUMIF(INDIRECT("'"&amp;D4&amp;"'"&amp;"!A:A"),结果表110!B19,INDIRECT("'"&amp;D4&amp;"'"&amp;"!B:B"))</f>
        <v>935.31579999999997</v>
      </c>
      <c r="E19" s="1129" t="s">
        <v>808</v>
      </c>
      <c r="F19" s="2132" t="s">
        <v>807</v>
      </c>
      <c r="G19" s="2134">
        <f ca="1">ROUND(C19*$C$18+D19*$D$18,0)</f>
        <v>1095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32744</v>
      </c>
      <c r="D20" s="1602">
        <f ca="1">SUMIF(INDIRECT("'"&amp;D4&amp;"'"&amp;"!A:A"),结果表110!B20,INDIRECT("'"&amp;D4&amp;"'"&amp;"!B:B"))</f>
        <v>26323</v>
      </c>
      <c r="E20" s="2136"/>
      <c r="F20" s="2137" t="s">
        <v>810</v>
      </c>
      <c r="G20" s="2138">
        <f ca="1">ROUND(C20*$C$18+D20*$D$18,0)</f>
        <v>30818</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0.24392189247738583</v>
      </c>
      <c r="E22" s="1458"/>
      <c r="F22" s="1458"/>
      <c r="G22" s="1458"/>
      <c r="H22" s="1458"/>
      <c r="I22" s="1458"/>
    </row>
    <row r="23" spans="1:36" ht="13.2">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30818</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23822</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4.4">
      <c r="A35" s="2172"/>
      <c r="B35" s="2173" t="s">
        <v>828</v>
      </c>
      <c r="C35" s="2174">
        <f ca="1">IF(C33="自定义",F35,ROUND(C32*D35,0))</f>
        <v>6996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4.4">
      <c r="A36" s="3289" t="s">
        <v>830</v>
      </c>
      <c r="B36" s="2178" t="s">
        <v>831</v>
      </c>
      <c r="C36" s="2179"/>
      <c r="D36" s="2180"/>
      <c r="E36" s="2181"/>
      <c r="F36" s="2182"/>
      <c r="G36" s="1458"/>
      <c r="H36" s="1458"/>
      <c r="I36" s="1458"/>
    </row>
    <row r="37" spans="1:15" ht="14.4">
      <c r="A37" s="3290"/>
      <c r="B37" s="2183" t="s">
        <v>832</v>
      </c>
      <c r="C37" s="2184"/>
      <c r="D37" s="2185"/>
      <c r="E37" s="2185"/>
      <c r="F37" s="2182"/>
      <c r="G37" s="1458"/>
      <c r="H37" s="1458"/>
      <c r="I37" s="1458"/>
    </row>
    <row r="38" spans="1:15" ht="14.4">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69" t="s">
        <v>841</v>
      </c>
      <c r="B45" s="3370"/>
      <c r="C45" s="3371"/>
      <c r="D45" s="2204">
        <f ca="1">ROUND(H101*F45,4)</f>
        <v>1095</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57.357100000000003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1095</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1095</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57</v>
      </c>
      <c r="E52" s="1908" t="s">
        <v>873</v>
      </c>
      <c r="F52" s="2226">
        <f>'数据-取费表'!B41</f>
        <v>5.5000000000000007E-2</v>
      </c>
      <c r="G52" s="2227"/>
      <c r="H52" s="2019"/>
      <c r="I52" s="2256"/>
      <c r="J52" s="576">
        <v>1</v>
      </c>
      <c r="K52" s="3344" t="s">
        <v>874</v>
      </c>
      <c r="L52" s="3344"/>
      <c r="M52" s="2257">
        <f ca="1">D48</f>
        <v>57.357100000000003</v>
      </c>
      <c r="N52" s="576" t="str">
        <f>E48</f>
        <v>(销售额-原购置价)×税（费）率</v>
      </c>
      <c r="O52" s="2258">
        <f>F48</f>
        <v>5.5000000000000007E-2</v>
      </c>
    </row>
    <row r="53" spans="1:35" ht="12" customHeight="1">
      <c r="A53" s="2225" t="s">
        <v>875</v>
      </c>
      <c r="B53" s="3323" t="s">
        <v>876</v>
      </c>
      <c r="C53" s="3340"/>
      <c r="D53" s="1904">
        <f ca="1">ROUND(D45*'数据-取费表'!B41/(1+'数据-取费表'!C42),0)</f>
        <v>57</v>
      </c>
      <c r="E53" s="1908" t="s">
        <v>873</v>
      </c>
      <c r="F53" s="2226">
        <f>'数据-取费表'!B41</f>
        <v>5.5000000000000007E-2</v>
      </c>
      <c r="G53" s="2227"/>
      <c r="H53" s="2019"/>
      <c r="I53" s="2256"/>
      <c r="J53" s="576">
        <v>2</v>
      </c>
      <c r="K53" s="3344" t="s">
        <v>877</v>
      </c>
      <c r="L53" s="3344"/>
      <c r="M53" s="2257">
        <f t="shared" ref="M53:O54" ca="1" si="0">D55</f>
        <v>0.54749999999999999</v>
      </c>
      <c r="N53" s="576" t="str">
        <f t="shared" si="0"/>
        <v>销售额×税（费）率</v>
      </c>
      <c r="O53" s="2258">
        <f t="shared" si="0"/>
        <v>5.0000000000000001E-4</v>
      </c>
    </row>
    <row r="54" spans="1:35" ht="12" customHeight="1">
      <c r="A54" s="2225" t="s">
        <v>878</v>
      </c>
      <c r="B54" s="3323" t="s">
        <v>879</v>
      </c>
      <c r="C54" s="3340"/>
      <c r="D54" s="1904">
        <f ca="1">C68</f>
        <v>57.357100000000003</v>
      </c>
      <c r="E54" s="1918" t="s">
        <v>880</v>
      </c>
      <c r="F54" s="2226">
        <f>'数据-取费表'!B41</f>
        <v>5.5000000000000007E-2</v>
      </c>
      <c r="G54" s="2227"/>
      <c r="H54" s="2228"/>
      <c r="I54" s="2256"/>
      <c r="J54" s="576">
        <v>3</v>
      </c>
      <c r="K54" s="3344" t="s">
        <v>881</v>
      </c>
      <c r="L54" s="3344"/>
      <c r="M54" s="2257">
        <f t="shared" ca="1" si="0"/>
        <v>620.76070000000004</v>
      </c>
      <c r="N54" s="576" t="str">
        <f t="shared" si="0"/>
        <v>增值额×税（费）率</v>
      </c>
      <c r="O54" s="2259" t="str">
        <f t="shared" si="0"/>
        <v>——</v>
      </c>
    </row>
    <row r="55" spans="1:35" ht="24" customHeight="1">
      <c r="A55" s="3349" t="s">
        <v>882</v>
      </c>
      <c r="B55" s="3350"/>
      <c r="C55" s="3350"/>
      <c r="D55" s="2229">
        <f ca="1">IF(H55="个人住宅",0,ROUND(D45*I55,4))</f>
        <v>0.54749999999999999</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10.95</v>
      </c>
      <c r="N55" s="557" t="str">
        <f>E59</f>
        <v>销售额×税（费）率</v>
      </c>
      <c r="O55" s="2262">
        <f>F59</f>
        <v>0.01</v>
      </c>
    </row>
    <row r="56" spans="1:35" ht="25.2">
      <c r="A56" s="3349" t="s">
        <v>885</v>
      </c>
      <c r="B56" s="3350"/>
      <c r="C56" s="3350"/>
      <c r="D56" s="2005">
        <f ca="1">IF(H56="个人住宅",D57,D58)</f>
        <v>620.76070000000004</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IF(AND(J55="",J56=""),4,IF(项目基本情况!K6="上海银行",结果表110!J56+1,结果表110!J55+1))</f>
        <v>5</v>
      </c>
      <c r="K57" s="3344" t="s">
        <v>889</v>
      </c>
      <c r="L57" s="2264" t="s">
        <v>890</v>
      </c>
      <c r="M57" s="2265"/>
      <c r="N57" s="2266">
        <f ca="1">SUMIF(M52:M56,"&lt;9e307")</f>
        <v>689.61530000000005</v>
      </c>
      <c r="O57" s="2267"/>
      <c r="P57" s="2268">
        <f ca="1">N57/M49</f>
        <v>0.62978566210045661</v>
      </c>
    </row>
    <row r="58" spans="1:35" ht="25.2">
      <c r="A58" s="2225" t="s">
        <v>871</v>
      </c>
      <c r="B58" s="3323" t="s">
        <v>891</v>
      </c>
      <c r="C58" s="3324"/>
      <c r="D58" s="2005">
        <f ca="1">IF(H58="转让取得",C81,C97)</f>
        <v>620.76070000000004</v>
      </c>
      <c r="E58" s="1908" t="s">
        <v>886</v>
      </c>
      <c r="F58" s="1855" t="s">
        <v>124</v>
      </c>
      <c r="G58" s="2227"/>
      <c r="H58" s="2231" t="s">
        <v>892</v>
      </c>
      <c r="I58" s="2239"/>
      <c r="J58" s="3344"/>
      <c r="K58" s="3344"/>
      <c r="L58" s="2264" t="s">
        <v>893</v>
      </c>
      <c r="M58" s="2269"/>
      <c r="N58" s="2270" t="str">
        <f ca="1">NUMBERSTRING(INT(N57*10000),2)&amp;"元整"</f>
        <v>陆佰捌拾玖万陆仟壹佰伍拾叁元整</v>
      </c>
      <c r="O58" s="2271"/>
    </row>
    <row r="59" spans="1:35" ht="26.4">
      <c r="A59" s="3341" t="s">
        <v>894</v>
      </c>
      <c r="B59" s="3342"/>
      <c r="C59" s="3342"/>
      <c r="D59" s="3177">
        <f ca="1">IF(H59="非个人房产","——",IF(H59="个人住宅（满五唯一有凭证）",0,IF(H59="个人其他（无凭证）",ROUND(D45*F59,4),ROUND(C67*F59,4))))</f>
        <v>10.95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405.38469999999995</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肆佰零伍万叁仟捌佰肆拾柒元整</v>
      </c>
      <c r="O60" s="2271"/>
    </row>
    <row r="61" spans="1:35" ht="13.2">
      <c r="A61" s="3343" t="s">
        <v>897</v>
      </c>
      <c r="B61" s="3343"/>
      <c r="C61" s="3343"/>
      <c r="D61" s="3343"/>
      <c r="E61" s="3343"/>
      <c r="F61" s="2239"/>
      <c r="G61" s="2239"/>
      <c r="H61" s="1459"/>
      <c r="I61" s="1458"/>
      <c r="J61" s="576">
        <f>J59+1</f>
        <v>7</v>
      </c>
      <c r="K61" s="3344" t="s">
        <v>898</v>
      </c>
      <c r="L61" s="3344"/>
      <c r="M61" s="2276"/>
      <c r="N61" s="2488">
        <f ca="1">ROUND(N59*10000/'数据-汇总表'!E3,0)</f>
        <v>4577</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1042.8570999999999</v>
      </c>
      <c r="D63" s="586"/>
      <c r="E63" s="2243"/>
      <c r="F63" s="2239"/>
      <c r="G63" s="2239"/>
      <c r="H63" s="1459"/>
      <c r="I63" s="1458"/>
      <c r="J63" s="3347" t="s">
        <v>903</v>
      </c>
      <c r="K63" s="2278" t="s">
        <v>904</v>
      </c>
      <c r="L63" s="2278">
        <f ca="1">IF(M49&gt;10000,M49*0.5%,IF(AND(M49&gt;1000,M49&lt;=10000),M49*1%,IF(AND(M49&gt;100,M49&lt;=1000),M49*3%,IF(AND(M49&gt;10,M49&lt;=100),M49*5%,M49*8%))))</f>
        <v>10.950000000000001</v>
      </c>
      <c r="M63" s="1855">
        <f ca="1">ROUND(L63,1)</f>
        <v>11</v>
      </c>
      <c r="N63" s="2279"/>
      <c r="Z63" s="2113"/>
      <c r="AI63" s="2114"/>
    </row>
    <row r="64" spans="1:35" ht="14.25" customHeight="1">
      <c r="A64" s="2244" t="s">
        <v>905</v>
      </c>
      <c r="B64" s="509" t="s">
        <v>906</v>
      </c>
      <c r="C64" s="2245">
        <f ca="1">D45</f>
        <v>1095</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6.57</v>
      </c>
      <c r="M64" s="1855">
        <f t="shared" ref="M64:M65" ca="1" si="1">ROUND(L64,1)</f>
        <v>6.6</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1.095</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5.4750000000000005</v>
      </c>
      <c r="M66" s="1855">
        <f ca="1">IF(L66&gt;0.5,0.5,ROUND(L66,0))</f>
        <v>0.5</v>
      </c>
      <c r="N66" s="2019" t="s">
        <v>916</v>
      </c>
      <c r="Z66" s="2113"/>
      <c r="AI66" s="2114"/>
    </row>
    <row r="67" spans="1:35" ht="14.25" customHeight="1">
      <c r="A67" s="2241" t="s">
        <v>917</v>
      </c>
      <c r="B67" s="2282" t="s">
        <v>918</v>
      </c>
      <c r="C67" s="2285">
        <f ca="1">C63-C66</f>
        <v>1042.8570999999999</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2.8925000000000001</v>
      </c>
      <c r="M67" s="1855">
        <f ca="1">ROUND(L67*0.9,1)</f>
        <v>2.6</v>
      </c>
      <c r="N67" s="2279"/>
      <c r="Z67" s="2113"/>
      <c r="AI67" s="2114"/>
    </row>
    <row r="68" spans="1:35" ht="14.25" customHeight="1">
      <c r="A68" s="2286" t="s">
        <v>920</v>
      </c>
      <c r="B68" s="2287" t="s">
        <v>921</v>
      </c>
      <c r="C68" s="2288">
        <f ca="1">IF(C67&lt;=0,0,ROUND(C67*D68,4))</f>
        <v>57.357100000000003</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21.900000000000002</v>
      </c>
      <c r="M68" s="1855">
        <f ca="1">ROUND(L68,1)</f>
        <v>21.9</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44</v>
      </c>
      <c r="N69" s="2358">
        <f ca="1">M69/M49</f>
        <v>4.0182648401826483E-2</v>
      </c>
      <c r="Z69" s="2113"/>
      <c r="AI69" s="2114"/>
    </row>
    <row r="70" spans="1:35" s="886" customFormat="1" ht="13.8">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1042.8570999999999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5.2142999999999997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5.2142999999999997</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1037.6427999999999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198.99944383714015</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620.76070000000004</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1043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1038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207.6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621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v>
      </c>
      <c r="D101" s="2335" t="str">
        <f>D4</f>
        <v>收益法 (元)</v>
      </c>
      <c r="E101" s="3332" t="s">
        <v>971</v>
      </c>
      <c r="F101" s="3327"/>
      <c r="G101" s="2337" t="s">
        <v>972</v>
      </c>
      <c r="H101" s="2338">
        <f ca="1">H118</f>
        <v>1095</v>
      </c>
      <c r="I101" s="1458"/>
    </row>
    <row r="102" spans="1:35" ht="18.75" customHeight="1">
      <c r="A102" s="3292" t="s">
        <v>973</v>
      </c>
      <c r="B102" s="2339" t="s">
        <v>972</v>
      </c>
      <c r="C102" s="2334">
        <f ca="1">IF(D32="楼面单价",ROUND(C19,0),C19)</f>
        <v>1163</v>
      </c>
      <c r="D102" s="2335">
        <f ca="1">IF(D32="楼面单价",ROUND(D19,0),D19)</f>
        <v>935</v>
      </c>
      <c r="E102" s="3332"/>
      <c r="F102" s="3327"/>
      <c r="G102" s="2337" t="s">
        <v>99</v>
      </c>
      <c r="H102" s="2227">
        <f ca="1">I118</f>
        <v>30818</v>
      </c>
      <c r="I102" s="1458"/>
    </row>
    <row r="103" spans="1:35" ht="42.75" customHeight="1">
      <c r="A103" s="3292"/>
      <c r="B103" s="2339" t="s">
        <v>99</v>
      </c>
      <c r="C103" s="2340">
        <f ca="1">C20</f>
        <v>32744</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1095</v>
      </c>
      <c r="D104" s="2345"/>
      <c r="E104" s="2183" t="s">
        <v>976</v>
      </c>
      <c r="F104" s="2346"/>
      <c r="G104" s="2342" t="s">
        <v>102</v>
      </c>
      <c r="H104" s="2347">
        <f>IF(D36="同一抵押权人同一抵押物续贷",C36&amp;"（续贷，未扣减，详见特别提示）",C36)</f>
        <v>0</v>
      </c>
      <c r="I104" s="1458"/>
    </row>
    <row r="105" spans="1:35" ht="18.75" customHeight="1">
      <c r="A105" s="3293"/>
      <c r="B105" s="2348" t="s">
        <v>99</v>
      </c>
      <c r="C105" s="2349">
        <f ca="1">I118</f>
        <v>30818</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1095</v>
      </c>
      <c r="I107" s="1458"/>
    </row>
    <row r="108" spans="1:35" ht="18.75" customHeight="1">
      <c r="A108" s="1458"/>
      <c r="B108" s="1458"/>
      <c r="C108" s="1458"/>
      <c r="D108" s="1458"/>
      <c r="E108" s="3326"/>
      <c r="F108" s="3327"/>
      <c r="G108" s="2337" t="s">
        <v>99</v>
      </c>
      <c r="H108" s="2227">
        <f ca="1">IF(H107=H101,H102,ROUND(H107*10000/'数据-汇总表'!E3,0))</f>
        <v>30818</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846</v>
      </c>
      <c r="E118" s="868">
        <f ca="1">ROUND(IF(C33="自定义",IF(D32="楼面单价",C34,D118*10000/B118),I118-G118),0)</f>
        <v>23822</v>
      </c>
      <c r="F118" s="868">
        <f ca="1">ROUND(IF(D32="总价",C35,G118*B118/10000),0)</f>
        <v>249</v>
      </c>
      <c r="G118" s="868">
        <f ca="1">ROUND(IF(D32="楼面单价",C35,F118*10000/B118),0)</f>
        <v>6996</v>
      </c>
      <c r="H118" s="2357">
        <f ca="1">ROUND(IF(D32="总价",C32,I118*B118/10000),0)</f>
        <v>1095</v>
      </c>
      <c r="I118" s="868">
        <f ca="1">ROUND(IF(D32="楼面单价",C32,H118*10000/B118),0)</f>
        <v>30818</v>
      </c>
    </row>
    <row r="119" spans="1:27" ht="18.75" customHeight="1">
      <c r="A119" s="3286" t="s">
        <v>988</v>
      </c>
      <c r="B119" s="3286"/>
      <c r="C119" s="3286"/>
      <c r="D119" s="3298" t="str">
        <f ca="1">NUMBERSTRING(INT(D118*10000),2)&amp;"元整"</f>
        <v>捌佰肆拾陆万元整</v>
      </c>
      <c r="E119" s="3300"/>
      <c r="F119" s="3298" t="str">
        <f ca="1">NUMBERSTRING(INT(F118*10000),2)&amp;"元整"</f>
        <v>贰佰肆拾玖万元整</v>
      </c>
      <c r="G119" s="3300"/>
      <c r="H119" s="3298" t="str">
        <f ca="1">NUMBERSTRING(INT(H118*10000),2)&amp;"元整"</f>
        <v>壹仟零玖拾伍万元整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1095</v>
      </c>
      <c r="E122" s="3336"/>
      <c r="F122" s="3336"/>
      <c r="G122" s="3336"/>
      <c r="H122" s="3336"/>
      <c r="I122" s="3337"/>
      <c r="AA122" s="1417"/>
    </row>
    <row r="123" spans="1:27" ht="18.75" customHeight="1">
      <c r="A123" s="3286" t="s">
        <v>988</v>
      </c>
      <c r="B123" s="3286"/>
      <c r="C123" s="3286"/>
      <c r="D123" s="3298" t="str">
        <f ca="1">NUMBERSTRING(INT(D122*10000),2)&amp;"元整"</f>
        <v>壹仟零玖拾伍万元整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79" t="s">
        <v>1076</v>
      </c>
    </row>
    <row r="43" spans="1:7" ht="13.5" customHeight="1">
      <c r="A43" s="386" t="s">
        <v>1008</v>
      </c>
      <c r="B43" s="359" t="s">
        <v>1046</v>
      </c>
      <c r="C43" s="388">
        <f ca="1">ROUND(IF('数据-取费表'!B22&lt;=1,C39*F22*'数据-取费表'!B21/2,C39*(POWER((1+F22),'数据-取费表'!B21/2)-1)),0)</f>
        <v>0</v>
      </c>
      <c r="D43" s="388"/>
      <c r="E43" s="388"/>
      <c r="F43" s="389"/>
      <c r="G43" s="3380"/>
    </row>
    <row r="44" spans="1:7" ht="13.5" customHeight="1">
      <c r="A44" s="386" t="s">
        <v>1010</v>
      </c>
      <c r="B44" s="359" t="s">
        <v>1048</v>
      </c>
      <c r="C44" s="388">
        <f ca="1">ROUND(IF('数据-取费表'!B22&lt;=1,C40*F22*'数据-取费表'!B21/2,C40*(POWER((1+F22),'数据-取费表'!B21/2)-1)),4)</f>
        <v>5.9999999999999995E-4</v>
      </c>
      <c r="D44" s="388"/>
      <c r="E44" s="388"/>
      <c r="F44" s="389"/>
      <c r="G44" s="3381"/>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5" t="str">
        <f>项目基本情况!B1</f>
        <v>北京市朝阳区西大望路15号3号楼6层604房地产抵押价值预评估</v>
      </c>
      <c r="C37" s="3195"/>
      <c r="D37" s="3195"/>
      <c r="E37" s="3195"/>
      <c r="F37" s="3195"/>
      <c r="G37" s="3195"/>
      <c r="H37" s="3195"/>
      <c r="I37" s="319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ROUND(F6*F8*F7*(1-F9)/10000,0)</f>
        <v>0</v>
      </c>
      <c r="D6" s="1854" t="s">
        <v>1161</v>
      </c>
      <c r="E6" s="1855" t="s">
        <v>1162</v>
      </c>
      <c r="F6" s="1856">
        <f ca="1">INDIRECT("'数据-取费表'!u"&amp;$G$1)</f>
        <v>0</v>
      </c>
      <c r="G6" s="714"/>
      <c r="H6" s="1852" t="s">
        <v>905</v>
      </c>
      <c r="I6" s="3384" t="s">
        <v>1160</v>
      </c>
      <c r="J6" s="1926">
        <f ca="1">ROUND(M6*M8*M7*(1-M9)/10000,0)</f>
        <v>0</v>
      </c>
      <c r="K6" s="1854" t="s">
        <v>1163</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0</v>
      </c>
      <c r="G7" s="714"/>
      <c r="H7" s="1861"/>
      <c r="I7" s="3385"/>
      <c r="J7" s="1862"/>
      <c r="K7" s="1859"/>
      <c r="L7" s="1855" t="s">
        <v>1164</v>
      </c>
      <c r="M7" s="1856">
        <f ca="1">F7</f>
        <v>0</v>
      </c>
    </row>
    <row r="8" spans="1:37" ht="18" customHeight="1">
      <c r="A8" s="1861"/>
      <c r="B8" s="3385"/>
      <c r="C8" s="1862"/>
      <c r="D8" s="1859"/>
      <c r="E8" s="1855" t="s">
        <v>1165</v>
      </c>
      <c r="F8" s="1856">
        <f ca="1">INDIRECT("'数据-取费表'!ai"&amp;$G$1)</f>
        <v>0</v>
      </c>
      <c r="G8" s="714"/>
      <c r="H8" s="1861"/>
      <c r="I8" s="3385"/>
      <c r="J8" s="1862"/>
      <c r="K8" s="1859"/>
      <c r="L8" s="1855" t="s">
        <v>1165</v>
      </c>
      <c r="M8" s="1856">
        <f ca="1">INDIRECT("'数据-取费表'!ai"&amp;$G$1)</f>
        <v>0</v>
      </c>
    </row>
    <row r="9" spans="1:37" ht="18" customHeight="1">
      <c r="A9" s="1861"/>
      <c r="B9" s="3386"/>
      <c r="C9" s="1862"/>
      <c r="D9" s="1859"/>
      <c r="E9" s="1855" t="s">
        <v>1166</v>
      </c>
      <c r="F9" s="1863">
        <f ca="1">INDIRECT("'数据-取费表'!w"&amp;$G$1)</f>
        <v>0</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2" t="s">
        <v>1284</v>
      </c>
      <c r="L53" s="3383"/>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393" t="s">
        <v>1352</v>
      </c>
      <c r="Q4" s="3394"/>
      <c r="R4" s="3399" t="s">
        <v>1348</v>
      </c>
      <c r="S4" s="3400"/>
      <c r="T4" s="3399" t="s">
        <v>1349</v>
      </c>
      <c r="U4" s="3400"/>
      <c r="V4" s="3405" t="s">
        <v>1350</v>
      </c>
      <c r="W4" s="3405"/>
      <c r="X4" s="2102"/>
      <c r="Y4" s="3399" t="s">
        <v>1352</v>
      </c>
      <c r="Z4" s="3400"/>
      <c r="AA4" s="3387" t="s">
        <v>1348</v>
      </c>
      <c r="AB4" s="3387" t="s">
        <v>1349</v>
      </c>
      <c r="AC4" s="3390" t="s">
        <v>1350</v>
      </c>
    </row>
    <row r="5" spans="1:29" ht="13.95" customHeight="1">
      <c r="A5" s="922"/>
      <c r="B5" s="923"/>
      <c r="C5" s="3433" t="s">
        <v>2791</v>
      </c>
      <c r="D5" s="3434"/>
      <c r="E5" s="3433" t="s">
        <v>2791</v>
      </c>
      <c r="F5" s="3434"/>
      <c r="G5" s="3433" t="s">
        <v>2791</v>
      </c>
      <c r="H5" s="3434"/>
      <c r="I5" s="3433" t="s">
        <v>2793</v>
      </c>
      <c r="J5" s="3434"/>
      <c r="K5" s="1064"/>
      <c r="L5" s="1065"/>
      <c r="M5" s="1015"/>
      <c r="N5" s="1015"/>
      <c r="O5" s="1015"/>
      <c r="P5" s="3395"/>
      <c r="Q5" s="3396"/>
      <c r="R5" s="3401"/>
      <c r="S5" s="3402"/>
      <c r="T5" s="3401"/>
      <c r="U5" s="3402"/>
      <c r="V5" s="3406"/>
      <c r="W5" s="3406"/>
      <c r="X5" s="1113"/>
      <c r="Y5" s="3401"/>
      <c r="Z5" s="3402"/>
      <c r="AA5" s="3388"/>
      <c r="AB5" s="3388"/>
      <c r="AC5" s="3391"/>
    </row>
    <row r="6" spans="1:29" ht="14.4">
      <c r="A6" s="924"/>
      <c r="B6" s="925"/>
      <c r="C6" s="3424" t="s">
        <v>1354</v>
      </c>
      <c r="D6" s="3425"/>
      <c r="E6" s="3426" t="s">
        <v>1354</v>
      </c>
      <c r="F6" s="3427"/>
      <c r="G6" s="3424" t="s">
        <v>1354</v>
      </c>
      <c r="H6" s="3425"/>
      <c r="I6" s="3424" t="s">
        <v>1354</v>
      </c>
      <c r="J6" s="3425"/>
      <c r="K6" s="1064" t="s">
        <v>1355</v>
      </c>
      <c r="L6" s="1065"/>
      <c r="M6" s="1015"/>
      <c r="N6" s="1015"/>
      <c r="O6" s="1015"/>
      <c r="P6" s="3397"/>
      <c r="Q6" s="3398"/>
      <c r="R6" s="3401"/>
      <c r="S6" s="3402"/>
      <c r="T6" s="3403"/>
      <c r="U6" s="3404"/>
      <c r="V6" s="3406"/>
      <c r="W6" s="3406"/>
      <c r="X6" s="1113"/>
      <c r="Y6" s="3403"/>
      <c r="Z6" s="3404"/>
      <c r="AA6" s="3389"/>
      <c r="AB6" s="3389"/>
      <c r="AC6" s="3392"/>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4"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4" t="s">
        <v>1361</v>
      </c>
      <c r="Q8" s="3413"/>
      <c r="R8" s="1114" t="s">
        <v>1358</v>
      </c>
      <c r="S8" s="1115">
        <f t="shared" si="0"/>
        <v>103</v>
      </c>
      <c r="T8" s="1114" t="s">
        <v>1358</v>
      </c>
      <c r="U8" s="1115">
        <f t="shared" si="1"/>
        <v>103</v>
      </c>
      <c r="V8" s="1114" t="s">
        <v>1358</v>
      </c>
      <c r="W8" s="1115">
        <f t="shared" si="2"/>
        <v>103</v>
      </c>
      <c r="X8" s="1116"/>
      <c r="Y8" s="3412" t="s">
        <v>1361</v>
      </c>
      <c r="Z8" s="3413"/>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7"/>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5" t="s">
        <v>1370</v>
      </c>
      <c r="Q15" s="621" t="str">
        <f t="shared" si="6"/>
        <v>办公集聚程度</v>
      </c>
      <c r="R15" s="1118" t="s">
        <v>1358</v>
      </c>
      <c r="S15" s="1119">
        <f t="shared" si="0"/>
        <v>100</v>
      </c>
      <c r="T15" s="1118" t="s">
        <v>1358</v>
      </c>
      <c r="U15" s="1119">
        <f t="shared" si="1"/>
        <v>100</v>
      </c>
      <c r="V15" s="1118" t="s">
        <v>1358</v>
      </c>
      <c r="W15" s="1119">
        <f t="shared" si="2"/>
        <v>100</v>
      </c>
      <c r="X15" s="1113"/>
      <c r="Y15" s="3420"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6"/>
      <c r="Q20" s="621"/>
      <c r="R20" s="1118"/>
      <c r="S20" s="1119"/>
      <c r="T20" s="1118"/>
      <c r="U20" s="1119"/>
      <c r="V20" s="1118"/>
      <c r="W20" s="1119"/>
      <c r="X20" s="1113"/>
      <c r="Y20" s="3421"/>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6"/>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6"/>
      <c r="Q25" s="621" t="str">
        <f>B25</f>
        <v>毗邻道路的类型与等级</v>
      </c>
      <c r="R25" s="1118" t="s">
        <v>1358</v>
      </c>
      <c r="S25" s="1119">
        <f>F25</f>
        <v>100</v>
      </c>
      <c r="T25" s="1118" t="s">
        <v>1358</v>
      </c>
      <c r="U25" s="1119">
        <f>H25</f>
        <v>100</v>
      </c>
      <c r="V25" s="1118" t="s">
        <v>1358</v>
      </c>
      <c r="W25" s="1119">
        <f>J25</f>
        <v>100</v>
      </c>
      <c r="X25" s="1113"/>
      <c r="Y25" s="3421"/>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6"/>
      <c r="Q26" s="621"/>
      <c r="R26" s="1118"/>
      <c r="S26" s="1119"/>
      <c r="T26" s="1118"/>
      <c r="U26" s="1119"/>
      <c r="V26" s="1118"/>
      <c r="W26" s="1119"/>
      <c r="X26" s="1113"/>
      <c r="Y26" s="3421"/>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6"/>
      <c r="Q27" s="621" t="str">
        <f t="shared" ref="Q27:Q47" si="11">B27</f>
        <v>楼层</v>
      </c>
      <c r="R27" s="1118" t="s">
        <v>1358</v>
      </c>
      <c r="S27" s="1119">
        <f>F27</f>
        <v>100</v>
      </c>
      <c r="T27" s="1118" t="s">
        <v>1358</v>
      </c>
      <c r="U27" s="1119">
        <f>H27</f>
        <v>100</v>
      </c>
      <c r="V27" s="1118" t="s">
        <v>1358</v>
      </c>
      <c r="W27" s="1119">
        <f>J27</f>
        <v>97</v>
      </c>
      <c r="X27" s="1113"/>
      <c r="Y27" s="3421"/>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6"/>
      <c r="Q28" s="790" t="str">
        <f t="shared" si="11"/>
        <v>朝向</v>
      </c>
      <c r="R28" s="1114" t="s">
        <v>1358</v>
      </c>
      <c r="S28" s="1115">
        <f>F28</f>
        <v>100</v>
      </c>
      <c r="T28" s="1114" t="s">
        <v>1358</v>
      </c>
      <c r="U28" s="1115">
        <f>H28</f>
        <v>100</v>
      </c>
      <c r="V28" s="1114" t="s">
        <v>1358</v>
      </c>
      <c r="W28" s="1115">
        <f>J28</f>
        <v>100</v>
      </c>
      <c r="X28" s="1116"/>
      <c r="Y28" s="3421"/>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6"/>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1"/>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6"/>
      <c r="Q32" s="621">
        <f t="shared" si="11"/>
        <v>111</v>
      </c>
      <c r="R32" s="1118" t="s">
        <v>1358</v>
      </c>
      <c r="S32" s="1119">
        <f t="shared" si="12"/>
        <v>100</v>
      </c>
      <c r="T32" s="1118" t="s">
        <v>1358</v>
      </c>
      <c r="U32" s="1119">
        <f t="shared" si="13"/>
        <v>100</v>
      </c>
      <c r="V32" s="1118" t="s">
        <v>1358</v>
      </c>
      <c r="W32" s="1119">
        <f t="shared" si="14"/>
        <v>100</v>
      </c>
      <c r="X32" s="1113"/>
      <c r="Y32" s="3421"/>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7" t="s">
        <v>1384</v>
      </c>
      <c r="Q33" s="621" t="str">
        <f t="shared" si="11"/>
        <v>建筑类型</v>
      </c>
      <c r="R33" s="1118" t="s">
        <v>1358</v>
      </c>
      <c r="S33" s="1119">
        <f t="shared" si="12"/>
        <v>100</v>
      </c>
      <c r="T33" s="1118" t="s">
        <v>1358</v>
      </c>
      <c r="U33" s="1119">
        <f t="shared" si="13"/>
        <v>100</v>
      </c>
      <c r="V33" s="1118" t="s">
        <v>1358</v>
      </c>
      <c r="W33" s="1119">
        <f t="shared" si="14"/>
        <v>100</v>
      </c>
      <c r="X33" s="1113"/>
      <c r="Y33" s="3422"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8"/>
      <c r="Q34" s="1308" t="str">
        <f t="shared" si="11"/>
        <v>项目建筑规模</v>
      </c>
      <c r="R34" s="1120" t="s">
        <v>1358</v>
      </c>
      <c r="S34" s="1121">
        <f t="shared" si="12"/>
        <v>100</v>
      </c>
      <c r="T34" s="1120" t="s">
        <v>1358</v>
      </c>
      <c r="U34" s="1121">
        <f t="shared" si="13"/>
        <v>100</v>
      </c>
      <c r="V34" s="1120" t="s">
        <v>1358</v>
      </c>
      <c r="W34" s="1121">
        <f t="shared" si="14"/>
        <v>100</v>
      </c>
      <c r="X34" s="1122"/>
      <c r="Y34" s="3422"/>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8"/>
      <c r="Q35" s="621" t="str">
        <f t="shared" si="11"/>
        <v>建筑结构</v>
      </c>
      <c r="R35" s="1118" t="s">
        <v>1358</v>
      </c>
      <c r="S35" s="1119">
        <f t="shared" si="12"/>
        <v>100</v>
      </c>
      <c r="T35" s="1118" t="s">
        <v>1358</v>
      </c>
      <c r="U35" s="1119">
        <f t="shared" si="13"/>
        <v>100</v>
      </c>
      <c r="V35" s="1118" t="s">
        <v>1358</v>
      </c>
      <c r="W35" s="1119">
        <f t="shared" si="14"/>
        <v>100</v>
      </c>
      <c r="X35" s="1113"/>
      <c r="Y35" s="3422"/>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8"/>
      <c r="Q37" s="621" t="str">
        <f t="shared" si="11"/>
        <v>成新度</v>
      </c>
      <c r="R37" s="1118" t="s">
        <v>1358</v>
      </c>
      <c r="S37" s="1119">
        <f t="shared" si="12"/>
        <v>100</v>
      </c>
      <c r="T37" s="1118" t="s">
        <v>1358</v>
      </c>
      <c r="U37" s="1119">
        <f t="shared" si="13"/>
        <v>100</v>
      </c>
      <c r="V37" s="1118" t="s">
        <v>1358</v>
      </c>
      <c r="W37" s="1119">
        <f t="shared" si="14"/>
        <v>100</v>
      </c>
      <c r="X37" s="1113"/>
      <c r="Y37" s="3422"/>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8"/>
      <c r="Q38" s="790" t="str">
        <f t="shared" si="11"/>
        <v>写字楼等级</v>
      </c>
      <c r="R38" s="1114" t="s">
        <v>1358</v>
      </c>
      <c r="S38" s="1115">
        <f t="shared" si="12"/>
        <v>100</v>
      </c>
      <c r="T38" s="1114" t="s">
        <v>1358</v>
      </c>
      <c r="U38" s="1115">
        <f t="shared" si="13"/>
        <v>100</v>
      </c>
      <c r="V38" s="1114" t="s">
        <v>1358</v>
      </c>
      <c r="W38" s="1115">
        <f t="shared" si="14"/>
        <v>100</v>
      </c>
      <c r="X38" s="1116"/>
      <c r="Y38" s="3422"/>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8" t="s">
        <v>1384</v>
      </c>
      <c r="Q39" s="621" t="str">
        <f t="shared" si="11"/>
        <v>物业管理</v>
      </c>
      <c r="R39" s="1118" t="s">
        <v>1358</v>
      </c>
      <c r="S39" s="1119">
        <f t="shared" si="12"/>
        <v>100</v>
      </c>
      <c r="T39" s="1118" t="s">
        <v>1358</v>
      </c>
      <c r="U39" s="1119">
        <f t="shared" si="13"/>
        <v>100</v>
      </c>
      <c r="V39" s="1118" t="s">
        <v>1358</v>
      </c>
      <c r="W39" s="1119">
        <f t="shared" si="14"/>
        <v>100</v>
      </c>
      <c r="X39" s="1113"/>
      <c r="Y39" s="3422"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8"/>
      <c r="Q40" s="621" t="str">
        <f t="shared" si="11"/>
        <v>市政基础设施</v>
      </c>
      <c r="R40" s="1118" t="s">
        <v>1358</v>
      </c>
      <c r="S40" s="1119">
        <f t="shared" si="12"/>
        <v>100</v>
      </c>
      <c r="T40" s="1118" t="s">
        <v>1358</v>
      </c>
      <c r="U40" s="1119">
        <f t="shared" si="13"/>
        <v>100</v>
      </c>
      <c r="V40" s="1118" t="s">
        <v>1358</v>
      </c>
      <c r="W40" s="1119">
        <f t="shared" si="14"/>
        <v>100</v>
      </c>
      <c r="X40" s="1113"/>
      <c r="Y40" s="3422"/>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8"/>
      <c r="Q41" s="621" t="str">
        <f t="shared" si="11"/>
        <v>层高</v>
      </c>
      <c r="R41" s="1118" t="s">
        <v>1358</v>
      </c>
      <c r="S41" s="1119">
        <f t="shared" si="12"/>
        <v>100</v>
      </c>
      <c r="T41" s="1118" t="s">
        <v>1358</v>
      </c>
      <c r="U41" s="1119">
        <f t="shared" si="13"/>
        <v>100</v>
      </c>
      <c r="V41" s="1118" t="s">
        <v>1358</v>
      </c>
      <c r="W41" s="1119">
        <f t="shared" si="14"/>
        <v>100</v>
      </c>
      <c r="X41" s="1113"/>
      <c r="Y41" s="3422"/>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8"/>
      <c r="Q42" s="1308" t="str">
        <f t="shared" si="11"/>
        <v>单套建筑面积</v>
      </c>
      <c r="R42" s="1120" t="s">
        <v>1358</v>
      </c>
      <c r="S42" s="1121">
        <f t="shared" si="12"/>
        <v>100</v>
      </c>
      <c r="T42" s="1120" t="s">
        <v>1358</v>
      </c>
      <c r="U42" s="1121">
        <f t="shared" si="13"/>
        <v>100</v>
      </c>
      <c r="V42" s="1120" t="s">
        <v>1358</v>
      </c>
      <c r="W42" s="1121">
        <f t="shared" si="14"/>
        <v>100</v>
      </c>
      <c r="X42" s="1122"/>
      <c r="Y42" s="3422"/>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8"/>
      <c r="Q43" s="621" t="str">
        <f t="shared" si="11"/>
        <v>内部装修</v>
      </c>
      <c r="R43" s="1118" t="s">
        <v>1358</v>
      </c>
      <c r="S43" s="1119">
        <f t="shared" si="12"/>
        <v>102</v>
      </c>
      <c r="T43" s="1118" t="s">
        <v>1358</v>
      </c>
      <c r="U43" s="1119">
        <f t="shared" si="13"/>
        <v>98</v>
      </c>
      <c r="V43" s="1118" t="s">
        <v>1358</v>
      </c>
      <c r="W43" s="1119">
        <f t="shared" si="14"/>
        <v>100</v>
      </c>
      <c r="X43" s="1113"/>
      <c r="Y43" s="3422"/>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8"/>
      <c r="Q44" s="621" t="str">
        <f t="shared" si="11"/>
        <v>内部装修维护情况</v>
      </c>
      <c r="R44" s="1118" t="s">
        <v>1358</v>
      </c>
      <c r="S44" s="1119">
        <f t="shared" si="12"/>
        <v>100</v>
      </c>
      <c r="T44" s="1118" t="s">
        <v>1358</v>
      </c>
      <c r="U44" s="1119">
        <f t="shared" si="13"/>
        <v>100</v>
      </c>
      <c r="V44" s="1118" t="s">
        <v>1358</v>
      </c>
      <c r="W44" s="1119">
        <f t="shared" si="14"/>
        <v>100</v>
      </c>
      <c r="X44" s="1113"/>
      <c r="Y44" s="3422"/>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8"/>
      <c r="Q45" s="790">
        <f t="shared" si="11"/>
        <v>111</v>
      </c>
      <c r="R45" s="1114" t="s">
        <v>1358</v>
      </c>
      <c r="S45" s="1115">
        <f t="shared" si="12"/>
        <v>100</v>
      </c>
      <c r="T45" s="1114" t="s">
        <v>1358</v>
      </c>
      <c r="U45" s="1115">
        <f t="shared" si="13"/>
        <v>100</v>
      </c>
      <c r="V45" s="1114" t="s">
        <v>1358</v>
      </c>
      <c r="W45" s="1115">
        <f t="shared" si="14"/>
        <v>100</v>
      </c>
      <c r="X45" s="1116"/>
      <c r="Y45" s="3422"/>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9"/>
      <c r="Q47" s="621">
        <f t="shared" si="11"/>
        <v>111</v>
      </c>
      <c r="R47" s="1118" t="s">
        <v>1358</v>
      </c>
      <c r="S47" s="1119">
        <f t="shared" si="12"/>
        <v>100</v>
      </c>
      <c r="T47" s="1118" t="s">
        <v>1358</v>
      </c>
      <c r="U47" s="1119">
        <f t="shared" si="13"/>
        <v>100</v>
      </c>
      <c r="V47" s="1118" t="s">
        <v>1358</v>
      </c>
      <c r="W47" s="1119">
        <f t="shared" si="14"/>
        <v>100</v>
      </c>
      <c r="X47" s="1113"/>
      <c r="Y47" s="3423"/>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07" t="str">
        <f>A48</f>
        <v>成交单价（元/平方米）</v>
      </c>
      <c r="Q48" s="3408"/>
      <c r="R48" s="3406">
        <f>E48</f>
        <v>39809</v>
      </c>
      <c r="S48" s="3406"/>
      <c r="T48" s="3406">
        <f>G48</f>
        <v>36512</v>
      </c>
      <c r="U48" s="3406"/>
      <c r="V48" s="3406">
        <f>I48</f>
        <v>34724</v>
      </c>
      <c r="W48" s="3406"/>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7" t="str">
        <f>A49</f>
        <v>比较价值（元/平方米）</v>
      </c>
      <c r="Q49" s="3408"/>
      <c r="R49" s="3406">
        <f>IF(F1="售价",ROUND(PRODUCT(R48,AA7:AA47),0),ROUND(PRODUCT(R48,AA7:AA47),1))</f>
        <v>37892</v>
      </c>
      <c r="S49" s="3406"/>
      <c r="T49" s="3406">
        <f>IF(F1="售价",ROUND(PRODUCT(T48,AB7:AB47),0),ROUND(PRODUCT(T48,AB7:AB47),1))</f>
        <v>36172</v>
      </c>
      <c r="U49" s="3406"/>
      <c r="V49" s="3406">
        <f>IF(F1="售价",ROUND(PRODUCT(V48,AC7:AC47),0),ROUND(PRODUCT(V48,AC7:AC47),1))</f>
        <v>34755</v>
      </c>
      <c r="W49" s="3406"/>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09" t="str">
        <f>A50</f>
        <v>估价对象XX用房的比较价值（楼面单价，元/平方米）</v>
      </c>
      <c r="Q50" s="3410"/>
      <c r="R50" s="3411">
        <f>IF(F1="售价",ROUND(IF(D49="简单平均",AVERAGE(R49:V49),R49*F49+T49*H49+V49*J49),0),ROUND(IF(D49="简单平均",AVERAGE(R49:V49),R49*F49+T49*H49+V49*J49),1))</f>
        <v>36273</v>
      </c>
      <c r="S50" s="3411"/>
      <c r="T50" s="3411"/>
      <c r="U50" s="3411"/>
      <c r="V50" s="3411"/>
      <c r="W50" s="3411"/>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4" zoomScaleNormal="70" zoomScaleSheetLayoutView="100" workbookViewId="0">
      <selection activeCell="M40" sqref="M40"/>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1163.4598000000001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32744</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4.4">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4.4">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3194"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16"/>
      <c r="Q25" s="621" t="str">
        <f t="shared" ref="Q25:Q46" si="11">B25</f>
        <v>临街状况</v>
      </c>
      <c r="R25" s="1118" t="s">
        <v>1358</v>
      </c>
      <c r="S25" s="1119">
        <f>F25</f>
        <v>102</v>
      </c>
      <c r="T25" s="1118" t="s">
        <v>1358</v>
      </c>
      <c r="U25" s="1119">
        <f>H25</f>
        <v>102</v>
      </c>
      <c r="V25" s="1118" t="s">
        <v>1358</v>
      </c>
      <c r="W25" s="1119">
        <f>J25</f>
        <v>102</v>
      </c>
      <c r="X25" s="1113"/>
      <c r="Y25" s="3421"/>
      <c r="Z25" s="1102" t="str">
        <f>Q25</f>
        <v>临街状况</v>
      </c>
      <c r="AA25" s="1102">
        <f t="shared" si="3"/>
        <v>0.98039215686274506</v>
      </c>
      <c r="AB25" s="1102">
        <f t="shared" si="4"/>
        <v>0.98039215686274506</v>
      </c>
      <c r="AC25" s="1102">
        <f t="shared" si="5"/>
        <v>0.98039215686274506</v>
      </c>
    </row>
    <row r="26" spans="1:29" ht="15">
      <c r="A26" s="943"/>
      <c r="B26" s="1177" t="s">
        <v>1607</v>
      </c>
      <c r="C26" s="3193" t="s">
        <v>2867</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8"/>
      <c r="Q33" s="1308" t="str">
        <f t="shared" si="11"/>
        <v>项目建筑规模</v>
      </c>
      <c r="R33" s="1120" t="s">
        <v>1358</v>
      </c>
      <c r="S33" s="1121">
        <f t="shared" si="12"/>
        <v>102</v>
      </c>
      <c r="T33" s="1120" t="s">
        <v>1358</v>
      </c>
      <c r="U33" s="1121">
        <f t="shared" si="13"/>
        <v>102</v>
      </c>
      <c r="V33" s="1120" t="s">
        <v>1358</v>
      </c>
      <c r="W33" s="1121">
        <f t="shared" si="14"/>
        <v>102</v>
      </c>
      <c r="X33" s="1122"/>
      <c r="Y33" s="3422"/>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98</v>
      </c>
      <c r="X36" s="1113"/>
      <c r="Y36" s="3422"/>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4.4">
      <c r="A48" s="1006" t="s">
        <v>1401</v>
      </c>
      <c r="B48" s="1293"/>
      <c r="C48" s="1294">
        <f>R49</f>
        <v>32744</v>
      </c>
      <c r="D48" s="1009" t="s">
        <v>1402</v>
      </c>
      <c r="E48" s="1295">
        <f>R48</f>
        <v>32661</v>
      </c>
      <c r="F48" s="1010"/>
      <c r="G48" s="1294">
        <f>T48</f>
        <v>34818</v>
      </c>
      <c r="H48" s="1010"/>
      <c r="I48" s="1295">
        <f>V48</f>
        <v>30752</v>
      </c>
      <c r="J48" s="1010"/>
      <c r="K48" s="1095">
        <f>F48+H48+J48</f>
        <v>0</v>
      </c>
      <c r="L48" s="1094"/>
      <c r="M48" s="1015"/>
      <c r="N48" s="1015"/>
      <c r="O48" s="1015"/>
      <c r="P48" s="3408" t="str">
        <f>A48</f>
        <v>比较价值（元/平方米）</v>
      </c>
      <c r="Q48" s="3408"/>
      <c r="R48" s="3406">
        <f>IF(F1="售价",ROUND(PRODUCT(R47,AA7:AA46),0),ROUND(PRODUCT(R47,AA7:AA46),1))</f>
        <v>32661</v>
      </c>
      <c r="S48" s="3406"/>
      <c r="T48" s="3406">
        <f>IF(F1="售价",ROUND(PRODUCT(T47,AB7:AB46),0),ROUND(PRODUCT(T47,AB7:AB46),1))</f>
        <v>34818</v>
      </c>
      <c r="U48" s="3406"/>
      <c r="V48" s="3406">
        <f>IF(F1="售价",ROUND(PRODUCT(V47,AC7:AC46),0),ROUND(PRODUCT(V47,AC7:AC46),1))</f>
        <v>30752</v>
      </c>
      <c r="W48" s="3406"/>
      <c r="X48" s="1055"/>
      <c r="Y48" s="1055"/>
      <c r="Z48" s="1055"/>
      <c r="AA48" s="1055"/>
      <c r="AB48" s="1055"/>
      <c r="AC48" s="1055"/>
    </row>
    <row r="49" spans="1:29" ht="14.4">
      <c r="A49" s="1012" t="s">
        <v>1403</v>
      </c>
      <c r="B49" s="1013"/>
      <c r="C49" s="925">
        <f>R49</f>
        <v>32744</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32744</v>
      </c>
      <c r="S49" s="3444"/>
      <c r="T49" s="3444"/>
      <c r="U49" s="3444"/>
      <c r="V49" s="3444"/>
      <c r="W49" s="3444"/>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2.8106916505924451E-2</v>
      </c>
      <c r="F52" s="1019" t="str">
        <f>IF(OR(E52&gt;=0.3,E52&lt;=-0.3),"超过30%","")</f>
        <v/>
      </c>
      <c r="G52" s="1018">
        <f>IF(G47&lt;G48,G48/G47-1,G47/G48-1)</f>
        <v>7.5535642483772758E-3</v>
      </c>
      <c r="H52" s="1019" t="str">
        <f>IF(OR(G52&gt;=0.3,G52&lt;=-0.3),"超过30%","")</f>
        <v/>
      </c>
      <c r="I52" s="1018">
        <f>IF(I47&lt;I48,I48/I47-1,I47/I48-1)</f>
        <v>8.201092611862637E-2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6.6042068522090602E-2</v>
      </c>
      <c r="F53" s="1019" t="str">
        <f>IF(OR(E53&gt;=0.2,E53&lt;=-0.2),"超过20%","")</f>
        <v/>
      </c>
      <c r="G53" s="1018">
        <f>IF(G48&lt;I48,I48/G48-1,G48/I48-1)</f>
        <v>0.13221904266389184</v>
      </c>
      <c r="H53" s="1019" t="str">
        <f>IF(OR(G53&gt;=0.2,G53&lt;=-0.2),"超过20%","")</f>
        <v/>
      </c>
      <c r="I53" s="1018">
        <f>IF(I48&lt;E48,E48/I48-1,I48/E48-1)</f>
        <v>6.2077263267429794E-2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2864</v>
      </c>
      <c r="D86" s="2106" t="s">
        <v>2866</v>
      </c>
      <c r="E86" s="2106" t="s">
        <v>2862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H42" sqref="H4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935.31579999999997</v>
      </c>
      <c r="C2" s="1833" t="s">
        <v>1149</v>
      </c>
      <c r="D2" s="1834">
        <f ca="1">C40+J29+L46</f>
        <v>9353158</v>
      </c>
      <c r="E2" s="1835" t="s">
        <v>1438</v>
      </c>
      <c r="F2" s="1836"/>
      <c r="G2" s="1837"/>
      <c r="H2" s="1838"/>
      <c r="I2" s="1838"/>
      <c r="J2" s="1838"/>
      <c r="K2" s="1993"/>
      <c r="L2" s="1838"/>
      <c r="M2" s="1838"/>
    </row>
    <row r="3" spans="1:37" ht="18" customHeigh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584343</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583613</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355.32</v>
      </c>
      <c r="G7" s="714"/>
      <c r="H7" s="1861"/>
      <c r="I7" s="3385"/>
      <c r="J7" s="1862"/>
      <c r="K7" s="1859"/>
      <c r="L7" s="1855" t="s">
        <v>1164</v>
      </c>
      <c r="M7" s="1856">
        <f ca="1">F7</f>
        <v>355.32</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730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6221</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6221</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-6221</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52693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38908</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6221</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5843</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531650</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9242004</v>
      </c>
      <c r="D40" s="1914" t="s">
        <v>1227</v>
      </c>
      <c r="E40" s="1855" t="s">
        <v>1228</v>
      </c>
      <c r="F40" s="1863">
        <f ca="1">INDIRECT("'数据-取费表'!I"&amp;$G$1)</f>
        <v>5.5E-2</v>
      </c>
      <c r="G40" s="714"/>
      <c r="H40" s="1927">
        <f ca="1">C39/C5</f>
        <v>0.90982522251485853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26010</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-935.37919999999997</v>
      </c>
      <c r="D45" s="1941" t="s">
        <v>1446</v>
      </c>
      <c r="E45" s="1937"/>
      <c r="F45" s="1937"/>
      <c r="O45" s="2021" t="s">
        <v>1246</v>
      </c>
      <c r="P45" s="1927"/>
      <c r="Q45" s="1927"/>
      <c r="R45" s="1927"/>
    </row>
    <row r="46" spans="1:18" s="714" customFormat="1">
      <c r="A46" s="1942" t="s">
        <v>1247</v>
      </c>
      <c r="C46" s="1943">
        <f ca="1">ROUND(C45,0)</f>
        <v>-935</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9242004</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7506445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9353158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9242004</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7942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9242004</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6221</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9242004</v>
      </c>
      <c r="R65" s="2070" t="s">
        <v>1256</v>
      </c>
    </row>
    <row r="66" spans="1:18" s="714" customFormat="1" ht="15.6">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
      <c r="A67" s="1972" t="s">
        <v>1219</v>
      </c>
      <c r="B67" s="2072" t="s">
        <v>1220</v>
      </c>
      <c r="C67" s="1468">
        <f ca="1">C48-C58</f>
        <v>-7942</v>
      </c>
      <c r="D67" s="1984" t="s">
        <v>1221</v>
      </c>
      <c r="E67" s="2073"/>
      <c r="F67" s="2074"/>
      <c r="O67" s="2041" t="s">
        <v>1267</v>
      </c>
      <c r="P67" s="2034" t="s">
        <v>1298</v>
      </c>
      <c r="Q67" s="2094">
        <f ca="1">L51</f>
        <v>7506445</v>
      </c>
      <c r="R67" s="2070" t="s">
        <v>1315</v>
      </c>
    </row>
    <row r="68" spans="1:18" s="714" customFormat="1" ht="15.6">
      <c r="A68" s="2075" t="s">
        <v>1225</v>
      </c>
      <c r="B68" s="2076" t="s">
        <v>1242</v>
      </c>
      <c r="C68" s="1926">
        <f ca="1">ROUND(C67*(1-((1+F70)/(1+F68))^F69)/(F68-F70),0)</f>
        <v>-111788</v>
      </c>
      <c r="D68" s="1987" t="s">
        <v>1227</v>
      </c>
      <c r="E68" s="1977" t="s">
        <v>1228</v>
      </c>
      <c r="F68" s="1863">
        <f ca="1">F40</f>
        <v>5.5E-2</v>
      </c>
      <c r="O68" s="2041" t="s">
        <v>1271</v>
      </c>
      <c r="P68" s="2093" t="s">
        <v>1316</v>
      </c>
      <c r="Q68" s="2070">
        <f ca="1">ROUND(Q69-Q70*Q71,0)</f>
        <v>411179</v>
      </c>
      <c r="R68" s="2070" t="s">
        <v>1317</v>
      </c>
    </row>
    <row r="69" spans="1:18" s="714" customFormat="1">
      <c r="A69" s="2077"/>
      <c r="B69" s="2078"/>
      <c r="C69" s="1862"/>
      <c r="D69" s="2079" t="s">
        <v>1231</v>
      </c>
      <c r="E69" s="1977" t="s">
        <v>1232</v>
      </c>
      <c r="F69" s="1930">
        <f ca="1">F41</f>
        <v>27.79</v>
      </c>
      <c r="O69" s="2041" t="s">
        <v>1318</v>
      </c>
      <c r="P69" s="2093" t="s">
        <v>1319</v>
      </c>
      <c r="Q69" s="2070">
        <f ca="1">C39</f>
        <v>531650</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-315</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9242004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60" t="s">
        <v>1456</v>
      </c>
      <c r="K2" s="3461"/>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4" t="s">
        <v>1464</v>
      </c>
      <c r="K3" s="3455"/>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4" t="s">
        <v>1465</v>
      </c>
      <c r="K4" s="3455"/>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4" t="s">
        <v>1469</v>
      </c>
      <c r="B6" s="3465"/>
      <c r="C6" s="3466"/>
      <c r="D6" s="1678"/>
      <c r="E6" s="1679"/>
      <c r="F6" s="1680"/>
      <c r="G6" s="1681"/>
      <c r="H6" s="1669"/>
      <c r="I6" s="1754"/>
      <c r="J6" s="3448">
        <v>1</v>
      </c>
      <c r="K6" s="3451"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48"/>
      <c r="K7" s="3452"/>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2" t="s">
        <v>1483</v>
      </c>
      <c r="C8" s="3463"/>
      <c r="D8" s="1692" t="s">
        <v>1484</v>
      </c>
      <c r="E8" s="1693" t="s">
        <v>1485</v>
      </c>
      <c r="F8" s="1694" t="s">
        <v>1486</v>
      </c>
      <c r="G8" s="1695"/>
      <c r="H8" s="1669"/>
      <c r="I8" s="1754"/>
      <c r="J8" s="3448"/>
      <c r="K8" s="3452"/>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2" t="s">
        <v>1489</v>
      </c>
      <c r="C9" s="3463"/>
      <c r="D9" s="1692">
        <f>ROUND(D6*E9,0)</f>
        <v>0</v>
      </c>
      <c r="E9" s="1696"/>
      <c r="F9" s="1697" t="s">
        <v>1490</v>
      </c>
      <c r="G9" s="1681"/>
      <c r="H9" s="1669"/>
      <c r="I9" s="1754"/>
      <c r="J9" s="3448"/>
      <c r="K9" s="3452"/>
      <c r="L9" s="1774" t="s">
        <v>1491</v>
      </c>
      <c r="M9" s="1775"/>
      <c r="N9" s="1674"/>
      <c r="O9" s="1776"/>
      <c r="P9" s="1776"/>
      <c r="Q9" s="1707">
        <v>365</v>
      </c>
      <c r="R9" s="1808">
        <f t="shared" si="0"/>
        <v>0</v>
      </c>
      <c r="S9" s="1723"/>
      <c r="T9" s="1723"/>
      <c r="U9" s="1723"/>
      <c r="V9" s="1754"/>
    </row>
    <row r="10" spans="1:22" s="1651" customFormat="1" ht="13.2" customHeight="1">
      <c r="A10" s="1689">
        <v>2</v>
      </c>
      <c r="B10" s="3462" t="s">
        <v>1492</v>
      </c>
      <c r="C10" s="3463"/>
      <c r="D10" s="1692">
        <f>ROUND(D6*E10,0)</f>
        <v>0</v>
      </c>
      <c r="E10" s="1696"/>
      <c r="F10" s="1697" t="s">
        <v>1493</v>
      </c>
      <c r="G10" s="1681"/>
      <c r="H10" s="1669"/>
      <c r="I10" s="1754"/>
      <c r="J10" s="3448"/>
      <c r="K10" s="3452"/>
      <c r="L10" s="1774" t="s">
        <v>1494</v>
      </c>
      <c r="M10" s="1775"/>
      <c r="N10" s="1674"/>
      <c r="O10" s="1776"/>
      <c r="P10" s="1776"/>
      <c r="Q10" s="1707">
        <v>365</v>
      </c>
      <c r="R10" s="1808">
        <f t="shared" si="0"/>
        <v>0</v>
      </c>
      <c r="S10" s="1723"/>
      <c r="T10" s="1723"/>
      <c r="U10" s="1723"/>
      <c r="V10" s="1754"/>
    </row>
    <row r="11" spans="1:22" s="1651" customFormat="1" ht="13.2" customHeight="1">
      <c r="A11" s="1689">
        <v>3</v>
      </c>
      <c r="B11" s="3462" t="s">
        <v>1495</v>
      </c>
      <c r="C11" s="3463"/>
      <c r="D11" s="1692">
        <f>D12+D14+D15+D16</f>
        <v>0</v>
      </c>
      <c r="E11" s="1698" t="e">
        <f>D11/D6</f>
        <v>#DIV/0!</v>
      </c>
      <c r="F11" s="1694"/>
      <c r="G11" s="1695"/>
      <c r="H11" s="1669"/>
      <c r="I11" s="1754"/>
      <c r="J11" s="3448"/>
      <c r="K11" s="3452"/>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56" t="s">
        <v>1498</v>
      </c>
      <c r="C12" s="3457"/>
      <c r="D12" s="1702">
        <f>ROUND(D13*1.2%*(1-30%),0)</f>
        <v>0</v>
      </c>
      <c r="E12" s="1703">
        <v>1.2E-2</v>
      </c>
      <c r="F12" s="1694" t="s">
        <v>1499</v>
      </c>
      <c r="G12" s="1695"/>
      <c r="H12" s="1669"/>
      <c r="I12" s="1754"/>
      <c r="J12" s="3448"/>
      <c r="K12" s="3452"/>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48"/>
      <c r="K13" s="3452"/>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56" t="s">
        <v>1504</v>
      </c>
      <c r="C14" s="3457"/>
      <c r="D14" s="1702">
        <f>ROUND(E14*B5/10000,0)</f>
        <v>0</v>
      </c>
      <c r="E14" s="1707"/>
      <c r="F14" s="1694" t="s">
        <v>1505</v>
      </c>
      <c r="G14" s="1695"/>
      <c r="H14" s="1669"/>
      <c r="I14" s="1754"/>
      <c r="J14" s="3448"/>
      <c r="K14" s="3453"/>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56" t="s">
        <v>1508</v>
      </c>
      <c r="C15" s="3457"/>
      <c r="D15" s="1702">
        <f>ROUND(D6*E15,0)</f>
        <v>0</v>
      </c>
      <c r="E15" s="1703">
        <v>5.5E-2</v>
      </c>
      <c r="F15" s="1694" t="s">
        <v>1509</v>
      </c>
      <c r="G15" s="1681"/>
      <c r="H15" s="1669"/>
      <c r="I15" s="1754"/>
      <c r="J15" s="3448">
        <v>2</v>
      </c>
      <c r="K15" s="3451"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56" t="s">
        <v>1516</v>
      </c>
      <c r="C16" s="3457"/>
      <c r="D16" s="1708">
        <f>D6*E16</f>
        <v>0</v>
      </c>
      <c r="E16" s="1709"/>
      <c r="F16" s="1697" t="s">
        <v>1517</v>
      </c>
      <c r="G16" s="1681"/>
      <c r="H16" s="1669"/>
      <c r="I16" s="1754"/>
      <c r="J16" s="3448"/>
      <c r="K16" s="3452"/>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58" t="s">
        <v>1519</v>
      </c>
      <c r="C17" s="3459"/>
      <c r="D17" s="1711">
        <f>ROUND(D6*E17,0)</f>
        <v>0</v>
      </c>
      <c r="E17" s="1712"/>
      <c r="F17" s="1713" t="s">
        <v>1520</v>
      </c>
      <c r="G17" s="1681"/>
      <c r="H17" s="1669"/>
      <c r="I17" s="1754"/>
      <c r="J17" s="3448"/>
      <c r="K17" s="3452"/>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48"/>
      <c r="K18" s="3452"/>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48"/>
      <c r="K19" s="3453"/>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48">
        <v>3</v>
      </c>
      <c r="K20" s="3451"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48"/>
      <c r="K21" s="3452"/>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48"/>
      <c r="K22" s="3452"/>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48"/>
      <c r="K23" s="3452"/>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48"/>
      <c r="K24" s="3453"/>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49">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50"/>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60" t="s">
        <v>1456</v>
      </c>
      <c r="K32" s="3461"/>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4" t="s">
        <v>1464</v>
      </c>
      <c r="K33" s="3455"/>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4" t="s">
        <v>1465</v>
      </c>
      <c r="K34" s="3455"/>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48">
        <v>1</v>
      </c>
      <c r="K36" s="3451"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48"/>
      <c r="K37" s="3452"/>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48"/>
      <c r="K38" s="3452"/>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48"/>
      <c r="K39" s="3452"/>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48"/>
      <c r="K40" s="3453"/>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49">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50"/>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2331.2611999999999</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26323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67" t="s">
        <v>1570</v>
      </c>
      <c r="C5" s="3468"/>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935.31579999999997</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986.96270000000004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408.98270000000002</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29" t="s">
        <v>1347</v>
      </c>
      <c r="D4" s="3430"/>
      <c r="E4" s="3431" t="s">
        <v>1348</v>
      </c>
      <c r="F4" s="3432"/>
      <c r="G4" s="3429" t="s">
        <v>1349</v>
      </c>
      <c r="H4" s="3430"/>
      <c r="I4" s="3429" t="s">
        <v>1350</v>
      </c>
      <c r="J4" s="3430"/>
      <c r="K4" s="1569"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35" t="s">
        <v>1349</v>
      </c>
      <c r="AC4" s="3435" t="s">
        <v>1350</v>
      </c>
    </row>
    <row r="5" spans="1:29">
      <c r="A5" s="922"/>
      <c r="B5" s="923"/>
      <c r="C5" s="3445" t="s">
        <v>1575</v>
      </c>
      <c r="D5" s="3434"/>
      <c r="E5" s="3469" t="s">
        <v>1576</v>
      </c>
      <c r="F5" s="3447"/>
      <c r="G5" s="3445" t="s">
        <v>1577</v>
      </c>
      <c r="H5" s="3434"/>
      <c r="I5" s="3445" t="s">
        <v>1353</v>
      </c>
      <c r="J5" s="3434"/>
      <c r="K5" s="1570"/>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570"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7"/>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7"/>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5"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6"/>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1"/>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6"/>
      <c r="Q26" s="621" t="str">
        <f t="shared" si="11"/>
        <v>朝向</v>
      </c>
      <c r="R26" s="1118" t="s">
        <v>1358</v>
      </c>
      <c r="S26" s="1119">
        <f t="shared" si="12"/>
        <v>100</v>
      </c>
      <c r="T26" s="1118" t="s">
        <v>1358</v>
      </c>
      <c r="U26" s="1119">
        <f t="shared" si="13"/>
        <v>100</v>
      </c>
      <c r="V26" s="1118" t="s">
        <v>1358</v>
      </c>
      <c r="W26" s="1119">
        <f t="shared" si="14"/>
        <v>100</v>
      </c>
      <c r="X26" s="1113"/>
      <c r="Y26" s="342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6"/>
      <c r="Q27" s="790">
        <f t="shared" si="11"/>
        <v>111</v>
      </c>
      <c r="R27" s="1114" t="s">
        <v>1358</v>
      </c>
      <c r="S27" s="1115">
        <f t="shared" si="12"/>
        <v>100</v>
      </c>
      <c r="T27" s="1114" t="s">
        <v>1358</v>
      </c>
      <c r="U27" s="1115">
        <f t="shared" si="13"/>
        <v>100</v>
      </c>
      <c r="V27" s="1114" t="s">
        <v>1358</v>
      </c>
      <c r="W27" s="1115">
        <f t="shared" si="14"/>
        <v>100</v>
      </c>
      <c r="X27" s="1116"/>
      <c r="Y27" s="342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6"/>
      <c r="Q28" s="621">
        <f t="shared" si="11"/>
        <v>111</v>
      </c>
      <c r="R28" s="1118" t="s">
        <v>1358</v>
      </c>
      <c r="S28" s="1119">
        <f t="shared" si="12"/>
        <v>100</v>
      </c>
      <c r="T28" s="1118" t="s">
        <v>1358</v>
      </c>
      <c r="U28" s="1119">
        <f t="shared" si="13"/>
        <v>100</v>
      </c>
      <c r="V28" s="1118" t="s">
        <v>1358</v>
      </c>
      <c r="W28" s="1119">
        <f t="shared" si="14"/>
        <v>100</v>
      </c>
      <c r="X28" s="1113"/>
      <c r="Y28" s="342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7" t="s">
        <v>1384</v>
      </c>
      <c r="Q32" s="621" t="str">
        <f t="shared" si="11"/>
        <v>建筑类型</v>
      </c>
      <c r="R32" s="1118" t="s">
        <v>1358</v>
      </c>
      <c r="S32" s="1119">
        <f t="shared" si="12"/>
        <v>100</v>
      </c>
      <c r="T32" s="1118" t="s">
        <v>1358</v>
      </c>
      <c r="U32" s="1119">
        <f t="shared" si="13"/>
        <v>100</v>
      </c>
      <c r="V32" s="1118" t="s">
        <v>1358</v>
      </c>
      <c r="W32" s="1119">
        <f t="shared" si="14"/>
        <v>100</v>
      </c>
      <c r="X32" s="1113"/>
      <c r="Y32" s="3422"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8"/>
      <c r="Q33" s="1308" t="str">
        <f t="shared" si="11"/>
        <v>项目建筑规模</v>
      </c>
      <c r="R33" s="1120" t="s">
        <v>1358</v>
      </c>
      <c r="S33" s="1121" t="e">
        <f t="shared" si="12"/>
        <v>#N/A</v>
      </c>
      <c r="T33" s="1120" t="s">
        <v>1358</v>
      </c>
      <c r="U33" s="1121" t="e">
        <f t="shared" si="13"/>
        <v>#N/A</v>
      </c>
      <c r="V33" s="1120" t="s">
        <v>1358</v>
      </c>
      <c r="W33" s="1121" t="e">
        <f t="shared" si="14"/>
        <v>#N/A</v>
      </c>
      <c r="X33" s="1122"/>
      <c r="Y33" s="3422"/>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8"/>
      <c r="Q35" s="621" t="str">
        <f t="shared" si="11"/>
        <v>建筑品质</v>
      </c>
      <c r="R35" s="1118" t="s">
        <v>1358</v>
      </c>
      <c r="S35" s="1119">
        <f t="shared" si="12"/>
        <v>100</v>
      </c>
      <c r="T35" s="1118" t="s">
        <v>1358</v>
      </c>
      <c r="U35" s="1119">
        <f t="shared" si="13"/>
        <v>100</v>
      </c>
      <c r="V35" s="1118" t="s">
        <v>1358</v>
      </c>
      <c r="W35" s="1119">
        <f t="shared" si="14"/>
        <v>100</v>
      </c>
      <c r="X35" s="1113"/>
      <c r="Y35" s="3422"/>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8"/>
      <c r="Q37" s="790" t="str">
        <f t="shared" si="11"/>
        <v>成新度</v>
      </c>
      <c r="R37" s="1114" t="s">
        <v>1358</v>
      </c>
      <c r="S37" s="1115" t="e">
        <f t="shared" si="12"/>
        <v>#N/A</v>
      </c>
      <c r="T37" s="1114" t="s">
        <v>1358</v>
      </c>
      <c r="U37" s="1115" t="e">
        <f t="shared" si="13"/>
        <v>#N/A</v>
      </c>
      <c r="V37" s="1114" t="s">
        <v>1358</v>
      </c>
      <c r="W37" s="1115" t="e">
        <f t="shared" si="14"/>
        <v>#N/A</v>
      </c>
      <c r="X37" s="1116"/>
      <c r="Y37" s="3422"/>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8" t="s">
        <v>1384</v>
      </c>
      <c r="Q38" s="621" t="str">
        <f t="shared" si="11"/>
        <v>物业管理</v>
      </c>
      <c r="R38" s="1118" t="s">
        <v>1358</v>
      </c>
      <c r="S38" s="1119">
        <f t="shared" si="12"/>
        <v>100</v>
      </c>
      <c r="T38" s="1118" t="s">
        <v>1358</v>
      </c>
      <c r="U38" s="1119">
        <f t="shared" si="13"/>
        <v>100</v>
      </c>
      <c r="V38" s="1118" t="s">
        <v>1358</v>
      </c>
      <c r="W38" s="1119">
        <f t="shared" si="14"/>
        <v>100</v>
      </c>
      <c r="X38" s="1113"/>
      <c r="Y38" s="3422"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8"/>
      <c r="Q39" s="621" t="str">
        <f t="shared" si="11"/>
        <v>市政基础设施</v>
      </c>
      <c r="R39" s="1118" t="s">
        <v>1358</v>
      </c>
      <c r="S39" s="1119">
        <f t="shared" si="12"/>
        <v>100</v>
      </c>
      <c r="T39" s="1118" t="s">
        <v>1358</v>
      </c>
      <c r="U39" s="1119">
        <f t="shared" si="13"/>
        <v>100</v>
      </c>
      <c r="V39" s="1118" t="s">
        <v>1358</v>
      </c>
      <c r="W39" s="1119">
        <f t="shared" si="14"/>
        <v>100</v>
      </c>
      <c r="X39" s="1113"/>
      <c r="Y39" s="3422"/>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8"/>
      <c r="Q40" s="621" t="str">
        <f t="shared" si="11"/>
        <v>房型</v>
      </c>
      <c r="R40" s="1118" t="s">
        <v>1358</v>
      </c>
      <c r="S40" s="1119">
        <f t="shared" si="12"/>
        <v>100</v>
      </c>
      <c r="T40" s="1118" t="s">
        <v>1358</v>
      </c>
      <c r="U40" s="1119">
        <f t="shared" si="13"/>
        <v>100</v>
      </c>
      <c r="V40" s="1118" t="s">
        <v>1358</v>
      </c>
      <c r="W40" s="1119">
        <f t="shared" si="14"/>
        <v>100</v>
      </c>
      <c r="X40" s="1113"/>
      <c r="Y40" s="3422"/>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8"/>
      <c r="Q41" s="1308" t="str">
        <f t="shared" si="11"/>
        <v>单套/主力户型建筑面积</v>
      </c>
      <c r="R41" s="1120" t="s">
        <v>1358</v>
      </c>
      <c r="S41" s="1121">
        <f t="shared" si="12"/>
        <v>100</v>
      </c>
      <c r="T41" s="1120" t="s">
        <v>1358</v>
      </c>
      <c r="U41" s="1121">
        <f t="shared" si="13"/>
        <v>100</v>
      </c>
      <c r="V41" s="1120" t="s">
        <v>1358</v>
      </c>
      <c r="W41" s="1121">
        <f t="shared" si="14"/>
        <v>100</v>
      </c>
      <c r="X41" s="1122"/>
      <c r="Y41" s="3422"/>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08" t="str">
        <f>A47</f>
        <v>成交单价（元/平方米）</v>
      </c>
      <c r="Q47" s="3408"/>
      <c r="R47" s="3406">
        <f>E47</f>
        <v>0</v>
      </c>
      <c r="S47" s="3406"/>
      <c r="T47" s="3406">
        <f>G47</f>
        <v>0</v>
      </c>
      <c r="U47" s="3406"/>
      <c r="V47" s="3406">
        <f>I47</f>
        <v>0</v>
      </c>
      <c r="W47" s="3406"/>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8" t="str">
        <f>A48</f>
        <v>比较价值（元/平方米）</v>
      </c>
      <c r="Q48" s="340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0" t="s">
        <v>1614</v>
      </c>
      <c r="D1" s="3471"/>
      <c r="E1" s="3471"/>
      <c r="F1" s="3471"/>
      <c r="G1" s="3471"/>
      <c r="H1" s="3471"/>
      <c r="I1" s="3471"/>
      <c r="J1" s="3471"/>
      <c r="K1" s="3471"/>
      <c r="L1" s="3471"/>
      <c r="M1" s="3471"/>
      <c r="N1" s="3471"/>
      <c r="O1" s="3471"/>
      <c r="P1" s="3471"/>
      <c r="Q1" s="3471"/>
      <c r="R1" s="3471"/>
      <c r="S1" s="3472"/>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2729.3346000000001</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30818</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3" t="s">
        <v>124</v>
      </c>
      <c r="D22" s="3474"/>
      <c r="E22" s="3474"/>
      <c r="F22" s="3474"/>
      <c r="G22" s="3474"/>
      <c r="H22" s="3474"/>
      <c r="I22" s="3474"/>
      <c r="J22" s="3474"/>
      <c r="K22" s="3474"/>
      <c r="L22" s="3474"/>
      <c r="M22" s="3474"/>
      <c r="N22" s="3474"/>
      <c r="O22" s="3474"/>
      <c r="P22" s="3474"/>
      <c r="Q22" s="3475"/>
      <c r="R22" s="1469">
        <f ca="1">ROUND(S22*10000/B22,0)</f>
        <v>30818</v>
      </c>
      <c r="S22" s="1469">
        <f ca="1">SUM(S24:S10000)</f>
        <v>2729.3346000000001</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30818</v>
      </c>
      <c r="S24" s="1525">
        <f t="shared" ref="S24:S32" ca="1" si="11">ROUND(R24*B24/10000,4)</f>
        <v>1095.0252</v>
      </c>
      <c r="T24" s="1526">
        <f ca="1">结果表110!N59</f>
        <v>405.38469999999995</v>
      </c>
      <c r="U24" s="1526">
        <f ca="1">结果表110!N61</f>
        <v>4577</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30818</v>
      </c>
      <c r="S25" s="1468">
        <f t="shared" ca="1" si="11"/>
        <v>1155.4901</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30818</v>
      </c>
      <c r="S26" s="1468">
        <f t="shared" ca="1" si="11"/>
        <v>478.8193</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30818</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30818</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30818</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30818</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30818</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30818</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380"/>
      <c r="M4" s="1050"/>
      <c r="N4" s="1050"/>
      <c r="O4" s="1050"/>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380"/>
      <c r="M5" s="1050"/>
      <c r="N5" s="1050"/>
      <c r="O5" s="1050"/>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380"/>
      <c r="M6" s="1050"/>
      <c r="N6" s="1050"/>
      <c r="O6" s="1050"/>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8"/>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1"/>
      <c r="Q16" s="621"/>
      <c r="R16" s="1118"/>
      <c r="S16" s="1119"/>
      <c r="T16" s="1118"/>
      <c r="U16" s="1119"/>
      <c r="V16" s="1118"/>
      <c r="W16" s="1119"/>
      <c r="X16" s="1113"/>
      <c r="Y16" s="3421"/>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1"/>
      <c r="Q18" s="621"/>
      <c r="R18" s="1118"/>
      <c r="S18" s="1119"/>
      <c r="T18" s="1118"/>
      <c r="U18" s="1119"/>
      <c r="V18" s="1118"/>
      <c r="W18" s="1119"/>
      <c r="X18" s="1113"/>
      <c r="Y18" s="3421"/>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1"/>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1"/>
      <c r="Q20" s="621"/>
      <c r="R20" s="1118"/>
      <c r="S20" s="1119"/>
      <c r="T20" s="1118"/>
      <c r="U20" s="1119"/>
      <c r="V20" s="1118"/>
      <c r="W20" s="1119"/>
      <c r="X20" s="1113"/>
      <c r="Y20" s="3421"/>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1"/>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1"/>
      <c r="Q22" s="621"/>
      <c r="R22" s="1118"/>
      <c r="S22" s="1119"/>
      <c r="T22" s="1118"/>
      <c r="U22" s="1119"/>
      <c r="V22" s="1118"/>
      <c r="W22" s="1119"/>
      <c r="X22" s="1113"/>
      <c r="Y22" s="3421"/>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1"/>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1"/>
      <c r="Q24" s="621"/>
      <c r="R24" s="1118"/>
      <c r="S24" s="1119"/>
      <c r="T24" s="1118"/>
      <c r="U24" s="1119"/>
      <c r="V24" s="1118"/>
      <c r="W24" s="1119"/>
      <c r="X24" s="1113"/>
      <c r="Y24" s="342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1"/>
      <c r="Q25" s="621">
        <f>B25</f>
        <v>111</v>
      </c>
      <c r="R25" s="1118" t="s">
        <v>1358</v>
      </c>
      <c r="S25" s="1119">
        <f>F25</f>
        <v>100</v>
      </c>
      <c r="T25" s="1118" t="s">
        <v>1358</v>
      </c>
      <c r="U25" s="1119">
        <f>H25</f>
        <v>100</v>
      </c>
      <c r="V25" s="1118" t="s">
        <v>1358</v>
      </c>
      <c r="W25" s="1119">
        <f>J25</f>
        <v>100</v>
      </c>
      <c r="X25" s="1113"/>
      <c r="Y25" s="342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1"/>
      <c r="Q26" s="621">
        <f t="shared" ref="Q26:Q40" si="11">B26</f>
        <v>111</v>
      </c>
      <c r="R26" s="1118" t="s">
        <v>1358</v>
      </c>
      <c r="S26" s="1119">
        <f>F26</f>
        <v>100</v>
      </c>
      <c r="T26" s="1118" t="s">
        <v>1358</v>
      </c>
      <c r="U26" s="1119">
        <f>H26</f>
        <v>100</v>
      </c>
      <c r="V26" s="1118" t="s">
        <v>1358</v>
      </c>
      <c r="W26" s="1119">
        <f>J26</f>
        <v>100</v>
      </c>
      <c r="X26" s="1113"/>
      <c r="Y26" s="342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1"/>
      <c r="Q27" s="790">
        <f t="shared" si="11"/>
        <v>111</v>
      </c>
      <c r="R27" s="1114" t="s">
        <v>1358</v>
      </c>
      <c r="S27" s="1115">
        <f>F27</f>
        <v>100</v>
      </c>
      <c r="T27" s="1114" t="s">
        <v>1358</v>
      </c>
      <c r="U27" s="1115">
        <f>H27</f>
        <v>100</v>
      </c>
      <c r="V27" s="1114" t="s">
        <v>1358</v>
      </c>
      <c r="W27" s="1115">
        <f>J27</f>
        <v>100</v>
      </c>
      <c r="X27" s="1116"/>
      <c r="Y27" s="342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1"/>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1"/>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6" t="s">
        <v>1384</v>
      </c>
      <c r="Q29" s="621" t="str">
        <f t="shared" si="11"/>
        <v>建筑类型</v>
      </c>
      <c r="R29" s="1118" t="s">
        <v>1358</v>
      </c>
      <c r="S29" s="1119">
        <f t="shared" si="12"/>
        <v>100</v>
      </c>
      <c r="T29" s="1118" t="s">
        <v>1358</v>
      </c>
      <c r="U29" s="1119">
        <f t="shared" si="13"/>
        <v>100</v>
      </c>
      <c r="V29" s="1118" t="s">
        <v>1358</v>
      </c>
      <c r="W29" s="1119">
        <f t="shared" si="14"/>
        <v>100</v>
      </c>
      <c r="X29" s="1113"/>
      <c r="Y29" s="3422"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2"/>
      <c r="Q30" s="1308" t="str">
        <f t="shared" si="11"/>
        <v>项目建筑规模</v>
      </c>
      <c r="R30" s="1120" t="s">
        <v>1358</v>
      </c>
      <c r="S30" s="1121" t="e">
        <f t="shared" si="12"/>
        <v>#N/A</v>
      </c>
      <c r="T30" s="1120" t="s">
        <v>1358</v>
      </c>
      <c r="U30" s="1121" t="e">
        <f t="shared" si="13"/>
        <v>#N/A</v>
      </c>
      <c r="V30" s="1120" t="s">
        <v>1358</v>
      </c>
      <c r="W30" s="1121" t="e">
        <f t="shared" si="14"/>
        <v>#N/A</v>
      </c>
      <c r="X30" s="1122"/>
      <c r="Y30" s="3422"/>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2"/>
      <c r="Q31" s="621" t="str">
        <f t="shared" si="11"/>
        <v>建筑结构</v>
      </c>
      <c r="R31" s="1118" t="s">
        <v>1358</v>
      </c>
      <c r="S31" s="1119">
        <f t="shared" si="12"/>
        <v>100</v>
      </c>
      <c r="T31" s="1118" t="s">
        <v>1358</v>
      </c>
      <c r="U31" s="1119">
        <f t="shared" si="13"/>
        <v>100</v>
      </c>
      <c r="V31" s="1118" t="s">
        <v>1358</v>
      </c>
      <c r="W31" s="1119">
        <f t="shared" si="14"/>
        <v>100</v>
      </c>
      <c r="X31" s="1113"/>
      <c r="Y31" s="3422"/>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2"/>
      <c r="Q32" s="621" t="str">
        <f t="shared" si="11"/>
        <v>公共部分装修</v>
      </c>
      <c r="R32" s="1118" t="s">
        <v>1358</v>
      </c>
      <c r="S32" s="1119">
        <f t="shared" si="12"/>
        <v>100</v>
      </c>
      <c r="T32" s="1118" t="s">
        <v>1358</v>
      </c>
      <c r="U32" s="1119">
        <f t="shared" si="13"/>
        <v>100</v>
      </c>
      <c r="V32" s="1118" t="s">
        <v>1358</v>
      </c>
      <c r="W32" s="1119">
        <f t="shared" si="14"/>
        <v>100</v>
      </c>
      <c r="X32" s="1113"/>
      <c r="Y32" s="342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2"/>
      <c r="Q33" s="621" t="str">
        <f t="shared" si="11"/>
        <v>成新度</v>
      </c>
      <c r="R33" s="1118" t="s">
        <v>1358</v>
      </c>
      <c r="S33" s="1119" t="e">
        <f t="shared" si="12"/>
        <v>#N/A</v>
      </c>
      <c r="T33" s="1118" t="s">
        <v>1358</v>
      </c>
      <c r="U33" s="1119" t="e">
        <f t="shared" si="13"/>
        <v>#N/A</v>
      </c>
      <c r="V33" s="1118" t="s">
        <v>1358</v>
      </c>
      <c r="W33" s="1119" t="e">
        <f t="shared" si="14"/>
        <v>#N/A</v>
      </c>
      <c r="X33" s="1113"/>
      <c r="Y33" s="3422"/>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2"/>
      <c r="Q34" s="790" t="str">
        <f t="shared" si="11"/>
        <v>物业管理</v>
      </c>
      <c r="R34" s="1114" t="s">
        <v>1358</v>
      </c>
      <c r="S34" s="1115">
        <f t="shared" si="12"/>
        <v>100</v>
      </c>
      <c r="T34" s="1114" t="s">
        <v>1358</v>
      </c>
      <c r="U34" s="1115">
        <f t="shared" si="13"/>
        <v>100</v>
      </c>
      <c r="V34" s="1114" t="s">
        <v>1358</v>
      </c>
      <c r="W34" s="1115">
        <f t="shared" si="14"/>
        <v>100</v>
      </c>
      <c r="X34" s="1116"/>
      <c r="Y34" s="3422"/>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2" t="s">
        <v>1384</v>
      </c>
      <c r="Q35" s="621" t="str">
        <f t="shared" si="11"/>
        <v>市政基础设施</v>
      </c>
      <c r="R35" s="1118" t="s">
        <v>1358</v>
      </c>
      <c r="S35" s="1119">
        <f t="shared" si="12"/>
        <v>100</v>
      </c>
      <c r="T35" s="1118" t="s">
        <v>1358</v>
      </c>
      <c r="U35" s="1119">
        <f t="shared" si="13"/>
        <v>100</v>
      </c>
      <c r="V35" s="1118" t="s">
        <v>1358</v>
      </c>
      <c r="W35" s="1119">
        <f t="shared" si="14"/>
        <v>100</v>
      </c>
      <c r="X35" s="1113"/>
      <c r="Y35" s="3422"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2"/>
      <c r="Q36" s="621" t="str">
        <f t="shared" si="11"/>
        <v>内部装修</v>
      </c>
      <c r="R36" s="1118" t="s">
        <v>1358</v>
      </c>
      <c r="S36" s="1119">
        <f t="shared" si="12"/>
        <v>100</v>
      </c>
      <c r="T36" s="1118" t="s">
        <v>1358</v>
      </c>
      <c r="U36" s="1119">
        <f t="shared" si="13"/>
        <v>100</v>
      </c>
      <c r="V36" s="1118" t="s">
        <v>1358</v>
      </c>
      <c r="W36" s="1119">
        <f t="shared" si="14"/>
        <v>100</v>
      </c>
      <c r="X36" s="1113"/>
      <c r="Y36" s="3422"/>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2"/>
      <c r="Q37" s="621" t="str">
        <f t="shared" si="11"/>
        <v>内部装修状况</v>
      </c>
      <c r="R37" s="1118" t="s">
        <v>1358</v>
      </c>
      <c r="S37" s="1119">
        <f t="shared" si="12"/>
        <v>100</v>
      </c>
      <c r="T37" s="1118" t="s">
        <v>1358</v>
      </c>
      <c r="U37" s="1119">
        <f t="shared" si="13"/>
        <v>100</v>
      </c>
      <c r="V37" s="1118" t="s">
        <v>1358</v>
      </c>
      <c r="W37" s="1119">
        <f t="shared" si="14"/>
        <v>100</v>
      </c>
      <c r="X37" s="1113"/>
      <c r="Y37" s="342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2"/>
      <c r="Q38" s="1308">
        <f t="shared" si="11"/>
        <v>111</v>
      </c>
      <c r="R38" s="1120" t="s">
        <v>1358</v>
      </c>
      <c r="S38" s="1121">
        <f t="shared" si="12"/>
        <v>100</v>
      </c>
      <c r="T38" s="1120" t="s">
        <v>1358</v>
      </c>
      <c r="U38" s="1121">
        <f t="shared" si="13"/>
        <v>100</v>
      </c>
      <c r="V38" s="1120" t="s">
        <v>1358</v>
      </c>
      <c r="W38" s="1121">
        <f t="shared" si="14"/>
        <v>100</v>
      </c>
      <c r="X38" s="1122"/>
      <c r="Y38" s="342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2"/>
      <c r="Q39" s="621">
        <f t="shared" si="11"/>
        <v>111</v>
      </c>
      <c r="R39" s="1118" t="s">
        <v>1358</v>
      </c>
      <c r="S39" s="1119">
        <f t="shared" si="12"/>
        <v>100</v>
      </c>
      <c r="T39" s="1118" t="s">
        <v>1358</v>
      </c>
      <c r="U39" s="1119">
        <f t="shared" si="13"/>
        <v>100</v>
      </c>
      <c r="V39" s="1118" t="s">
        <v>1358</v>
      </c>
      <c r="W39" s="1119">
        <f t="shared" si="14"/>
        <v>100</v>
      </c>
      <c r="X39" s="1113"/>
      <c r="Y39" s="342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3"/>
      <c r="Q40" s="621">
        <f t="shared" si="11"/>
        <v>111</v>
      </c>
      <c r="R40" s="1118" t="s">
        <v>1358</v>
      </c>
      <c r="S40" s="1119">
        <f t="shared" si="12"/>
        <v>100</v>
      </c>
      <c r="T40" s="1118" t="s">
        <v>1358</v>
      </c>
      <c r="U40" s="1119">
        <f t="shared" si="13"/>
        <v>100</v>
      </c>
      <c r="V40" s="1118" t="s">
        <v>1358</v>
      </c>
      <c r="W40" s="1119">
        <f t="shared" si="14"/>
        <v>100</v>
      </c>
      <c r="X40" s="1113"/>
      <c r="Y40" s="3423"/>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08" t="str">
        <f>A41</f>
        <v>成交单价（元/平方米）</v>
      </c>
      <c r="Q41" s="3408"/>
      <c r="R41" s="3406">
        <f>E41</f>
        <v>0</v>
      </c>
      <c r="S41" s="3406"/>
      <c r="T41" s="3406">
        <f>G41</f>
        <v>0</v>
      </c>
      <c r="U41" s="3406"/>
      <c r="V41" s="3406">
        <f>I41</f>
        <v>0</v>
      </c>
      <c r="W41" s="3406"/>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8" t="str">
        <f>A42</f>
        <v>比较价值（元/平方米）</v>
      </c>
      <c r="Q42" s="340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2" t="s">
        <v>1357</v>
      </c>
      <c r="Q7" s="3428"/>
      <c r="R7" s="1114" t="s">
        <v>1358</v>
      </c>
      <c r="S7" s="1115">
        <f t="shared" ref="S7:S14" si="0">F7</f>
        <v>0</v>
      </c>
      <c r="T7" s="1114" t="s">
        <v>1358</v>
      </c>
      <c r="U7" s="1115">
        <f t="shared" ref="U7:U14" si="1">H7</f>
        <v>0</v>
      </c>
      <c r="V7" s="1114" t="s">
        <v>1358</v>
      </c>
      <c r="W7" s="1115">
        <f t="shared" ref="W7:W14"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8" t="s">
        <v>1364</v>
      </c>
      <c r="Q9" s="790" t="str">
        <f t="shared" ref="Q9:Q14" si="6">B9</f>
        <v>用途</v>
      </c>
      <c r="R9" s="1114" t="s">
        <v>1358</v>
      </c>
      <c r="S9" s="1115">
        <f t="shared" si="0"/>
        <v>100</v>
      </c>
      <c r="T9" s="1114" t="s">
        <v>1358</v>
      </c>
      <c r="U9" s="1115">
        <f t="shared" si="1"/>
        <v>100</v>
      </c>
      <c r="V9" s="1114" t="s">
        <v>1358</v>
      </c>
      <c r="W9" s="1115">
        <f t="shared" si="2"/>
        <v>100</v>
      </c>
      <c r="X9" s="1116"/>
      <c r="Y9" s="3294"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8"/>
      <c r="Q11" s="790">
        <f t="shared" si="6"/>
        <v>111</v>
      </c>
      <c r="R11" s="1114" t="s">
        <v>1358</v>
      </c>
      <c r="S11" s="1115">
        <f t="shared" si="0"/>
        <v>100</v>
      </c>
      <c r="T11" s="1114" t="s">
        <v>1358</v>
      </c>
      <c r="U11" s="1115">
        <f t="shared" si="1"/>
        <v>100</v>
      </c>
      <c r="V11" s="1114" t="s">
        <v>1358</v>
      </c>
      <c r="W11" s="1115">
        <f t="shared" si="2"/>
        <v>100</v>
      </c>
      <c r="X11" s="1116"/>
      <c r="Y11" s="3294"/>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1"/>
      <c r="Q15" s="621"/>
      <c r="R15" s="1118"/>
      <c r="S15" s="1119"/>
      <c r="T15" s="1118"/>
      <c r="U15" s="1119"/>
      <c r="V15" s="1118"/>
      <c r="W15" s="1119"/>
      <c r="X15" s="1113"/>
      <c r="Y15" s="3421"/>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1"/>
      <c r="Q17" s="621"/>
      <c r="R17" s="1118"/>
      <c r="S17" s="1119"/>
      <c r="T17" s="1118"/>
      <c r="U17" s="1119"/>
      <c r="V17" s="1118"/>
      <c r="W17" s="1119"/>
      <c r="X17" s="1113"/>
      <c r="Y17" s="3421"/>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1"/>
      <c r="Q19" s="621"/>
      <c r="R19" s="1118"/>
      <c r="S19" s="1119"/>
      <c r="T19" s="1118"/>
      <c r="U19" s="1119"/>
      <c r="V19" s="1118"/>
      <c r="W19" s="1119"/>
      <c r="X19" s="1113"/>
      <c r="Y19" s="3421"/>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1"/>
      <c r="Q21" s="621"/>
      <c r="R21" s="1118"/>
      <c r="S21" s="1119"/>
      <c r="T21" s="1118"/>
      <c r="U21" s="1119"/>
      <c r="V21" s="1118"/>
      <c r="W21" s="1119"/>
      <c r="X21" s="1113"/>
      <c r="Y21" s="3421"/>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1"/>
      <c r="Q24" s="621">
        <f t="shared" ref="Q24:Q36"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6"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2"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2"/>
      <c r="Q27" s="1308" t="str">
        <f t="shared" si="11"/>
        <v>项目停车位配比</v>
      </c>
      <c r="R27" s="1120" t="s">
        <v>1358</v>
      </c>
      <c r="S27" s="1121">
        <f t="shared" si="12"/>
        <v>100</v>
      </c>
      <c r="T27" s="1120" t="s">
        <v>1358</v>
      </c>
      <c r="U27" s="1121">
        <f t="shared" si="13"/>
        <v>100</v>
      </c>
      <c r="V27" s="1120" t="s">
        <v>1358</v>
      </c>
      <c r="W27" s="1121">
        <f t="shared" si="14"/>
        <v>100</v>
      </c>
      <c r="X27" s="1122"/>
      <c r="Y27" s="3422"/>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2"/>
      <c r="Q28" s="621" t="str">
        <f t="shared" si="11"/>
        <v>公共部分装修</v>
      </c>
      <c r="R28" s="1118" t="s">
        <v>1358</v>
      </c>
      <c r="S28" s="1119">
        <f t="shared" si="12"/>
        <v>100</v>
      </c>
      <c r="T28" s="1118" t="s">
        <v>1358</v>
      </c>
      <c r="U28" s="1119">
        <f t="shared" si="13"/>
        <v>100</v>
      </c>
      <c r="V28" s="1118" t="s">
        <v>1358</v>
      </c>
      <c r="W28" s="1119">
        <f t="shared" si="14"/>
        <v>100</v>
      </c>
      <c r="X28" s="1113"/>
      <c r="Y28" s="3422"/>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2"/>
      <c r="Q29" s="621" t="str">
        <f t="shared" si="11"/>
        <v>成新率</v>
      </c>
      <c r="R29" s="1118" t="s">
        <v>1358</v>
      </c>
      <c r="S29" s="1119" t="e">
        <f t="shared" si="12"/>
        <v>#N/A</v>
      </c>
      <c r="T29" s="1118" t="s">
        <v>1358</v>
      </c>
      <c r="U29" s="1119" t="e">
        <f t="shared" si="13"/>
        <v>#N/A</v>
      </c>
      <c r="V29" s="1118" t="s">
        <v>1358</v>
      </c>
      <c r="W29" s="1119" t="e">
        <f t="shared" si="14"/>
        <v>#N/A</v>
      </c>
      <c r="X29" s="1113"/>
      <c r="Y29" s="3422"/>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2"/>
      <c r="Q30" s="621" t="str">
        <f t="shared" si="11"/>
        <v>物业等级</v>
      </c>
      <c r="R30" s="1118" t="s">
        <v>1358</v>
      </c>
      <c r="S30" s="1119">
        <f t="shared" si="12"/>
        <v>100</v>
      </c>
      <c r="T30" s="1118" t="s">
        <v>1358</v>
      </c>
      <c r="U30" s="1119">
        <f t="shared" si="13"/>
        <v>100</v>
      </c>
      <c r="V30" s="1118" t="s">
        <v>1358</v>
      </c>
      <c r="W30" s="1119">
        <f t="shared" si="14"/>
        <v>100</v>
      </c>
      <c r="X30" s="1113"/>
      <c r="Y30" s="3422"/>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2"/>
      <c r="Q31" s="790" t="str">
        <f t="shared" si="11"/>
        <v>停车位面积</v>
      </c>
      <c r="R31" s="1114" t="s">
        <v>1358</v>
      </c>
      <c r="S31" s="1115" t="e">
        <f t="shared" si="12"/>
        <v>#N/A</v>
      </c>
      <c r="T31" s="1114" t="s">
        <v>1358</v>
      </c>
      <c r="U31" s="1115" t="e">
        <f t="shared" si="13"/>
        <v>#N/A</v>
      </c>
      <c r="V31" s="1114" t="s">
        <v>1358</v>
      </c>
      <c r="W31" s="1115" t="e">
        <f t="shared" si="14"/>
        <v>#N/A</v>
      </c>
      <c r="X31" s="1116"/>
      <c r="Y31" s="3422"/>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2" t="s">
        <v>1384</v>
      </c>
      <c r="Q32" s="621" t="str">
        <f t="shared" si="11"/>
        <v>车位类型</v>
      </c>
      <c r="R32" s="1118" t="s">
        <v>1358</v>
      </c>
      <c r="S32" s="1119">
        <f t="shared" si="12"/>
        <v>100</v>
      </c>
      <c r="T32" s="1118" t="s">
        <v>1358</v>
      </c>
      <c r="U32" s="1119">
        <f t="shared" si="13"/>
        <v>100</v>
      </c>
      <c r="V32" s="1118" t="s">
        <v>1358</v>
      </c>
      <c r="W32" s="1119">
        <f t="shared" si="14"/>
        <v>100</v>
      </c>
      <c r="X32" s="1113"/>
      <c r="Y32" s="3422"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2"/>
      <c r="Q33" s="621" t="str">
        <f t="shared" si="11"/>
        <v>是否直接入户</v>
      </c>
      <c r="R33" s="1118" t="s">
        <v>1358</v>
      </c>
      <c r="S33" s="1119">
        <f t="shared" si="12"/>
        <v>100</v>
      </c>
      <c r="T33" s="1118" t="s">
        <v>1358</v>
      </c>
      <c r="U33" s="1119">
        <f t="shared" si="13"/>
        <v>100</v>
      </c>
      <c r="V33" s="1118" t="s">
        <v>1358</v>
      </c>
      <c r="W33" s="1119">
        <f t="shared" si="14"/>
        <v>100</v>
      </c>
      <c r="X33" s="1113"/>
      <c r="Y33" s="342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2"/>
      <c r="Q35" s="1308">
        <f t="shared" si="11"/>
        <v>111</v>
      </c>
      <c r="R35" s="1120" t="s">
        <v>1358</v>
      </c>
      <c r="S35" s="1121">
        <f t="shared" si="12"/>
        <v>100</v>
      </c>
      <c r="T35" s="1120" t="s">
        <v>1358</v>
      </c>
      <c r="U35" s="1121">
        <f t="shared" si="13"/>
        <v>100</v>
      </c>
      <c r="V35" s="1120" t="s">
        <v>1358</v>
      </c>
      <c r="W35" s="1121">
        <f t="shared" si="14"/>
        <v>100</v>
      </c>
      <c r="X35" s="1122"/>
      <c r="Y35" s="342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2"/>
      <c r="Q36" s="621">
        <f t="shared" si="11"/>
        <v>111</v>
      </c>
      <c r="R36" s="1118" t="s">
        <v>1358</v>
      </c>
      <c r="S36" s="1119">
        <f t="shared" si="12"/>
        <v>100</v>
      </c>
      <c r="T36" s="1118" t="s">
        <v>1358</v>
      </c>
      <c r="U36" s="1119">
        <f t="shared" si="13"/>
        <v>100</v>
      </c>
      <c r="V36" s="1118" t="s">
        <v>1358</v>
      </c>
      <c r="W36" s="1119">
        <f t="shared" si="14"/>
        <v>100</v>
      </c>
      <c r="X36" s="1113"/>
      <c r="Y36" s="3422"/>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08" t="str">
        <f>A37</f>
        <v>成交单价</v>
      </c>
      <c r="Q37" s="3408"/>
      <c r="R37" s="3406">
        <f>E37</f>
        <v>0</v>
      </c>
      <c r="S37" s="3406"/>
      <c r="T37" s="3406">
        <f>G37</f>
        <v>0</v>
      </c>
      <c r="U37" s="3406"/>
      <c r="V37" s="3406">
        <f>I37</f>
        <v>0</v>
      </c>
      <c r="W37" s="3406"/>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8" t="str">
        <f>A38</f>
        <v>比较价值（元/平方米）</v>
      </c>
      <c r="Q38" s="340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2" t="str">
        <f>A39</f>
        <v>估价对象XX用房的比较价值（楼面单价，元/平方米）</v>
      </c>
      <c r="Q39" s="3443"/>
      <c r="R39" s="3477" t="e">
        <f>IF(F1="售价",ROUND(IF(D38="简单平均",AVERAGE(R38:W38),R38*F38+T38*H38+V38*J38),0),ROUND(IF(D38="简单平均",AVERAGE(R38:V38),R38*F38+T38*H38+V38*J38),1))</f>
        <v>#DIV/0!</v>
      </c>
      <c r="S39" s="3477"/>
      <c r="T39" s="3477"/>
      <c r="U39" s="3477"/>
      <c r="V39" s="3477"/>
      <c r="W39" s="3477"/>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2" t="s">
        <v>1357</v>
      </c>
      <c r="Q7" s="3428"/>
      <c r="R7" s="1114" t="s">
        <v>1358</v>
      </c>
      <c r="S7" s="1115">
        <f t="shared" ref="S7:S14" si="0">F7</f>
        <v>0</v>
      </c>
      <c r="T7" s="1114" t="s">
        <v>1358</v>
      </c>
      <c r="U7" s="1115">
        <f t="shared" ref="U7:U14" si="1">H7</f>
        <v>0</v>
      </c>
      <c r="V7" s="1114" t="s">
        <v>1358</v>
      </c>
      <c r="W7" s="1115">
        <f t="shared" ref="W7:W14"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8" t="s">
        <v>1364</v>
      </c>
      <c r="Q9" s="790" t="str">
        <f t="shared" ref="Q9:Q14" si="6">B9</f>
        <v>用途</v>
      </c>
      <c r="R9" s="1114" t="s">
        <v>1358</v>
      </c>
      <c r="S9" s="1115">
        <f t="shared" si="0"/>
        <v>100</v>
      </c>
      <c r="T9" s="1114" t="s">
        <v>1358</v>
      </c>
      <c r="U9" s="1115">
        <f t="shared" si="1"/>
        <v>100</v>
      </c>
      <c r="V9" s="1114" t="s">
        <v>1358</v>
      </c>
      <c r="W9" s="1115">
        <f t="shared" si="2"/>
        <v>100</v>
      </c>
      <c r="X9" s="1116"/>
      <c r="Y9" s="3294"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8"/>
      <c r="Q11" s="790">
        <f t="shared" si="6"/>
        <v>111</v>
      </c>
      <c r="R11" s="1114" t="s">
        <v>1358</v>
      </c>
      <c r="S11" s="1115">
        <f t="shared" si="0"/>
        <v>100</v>
      </c>
      <c r="T11" s="1114" t="s">
        <v>1358</v>
      </c>
      <c r="U11" s="1115">
        <f t="shared" si="1"/>
        <v>100</v>
      </c>
      <c r="V11" s="1114" t="s">
        <v>1358</v>
      </c>
      <c r="W11" s="1115">
        <f t="shared" si="2"/>
        <v>100</v>
      </c>
      <c r="X11" s="1116"/>
      <c r="Y11" s="3294"/>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1"/>
      <c r="Q15" s="621"/>
      <c r="R15" s="1118"/>
      <c r="S15" s="1119"/>
      <c r="T15" s="1118"/>
      <c r="U15" s="1119"/>
      <c r="V15" s="1118"/>
      <c r="W15" s="1119"/>
      <c r="X15" s="1113"/>
      <c r="Y15" s="3421"/>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1"/>
      <c r="Q17" s="621"/>
      <c r="R17" s="1118"/>
      <c r="S17" s="1119"/>
      <c r="T17" s="1118"/>
      <c r="U17" s="1119"/>
      <c r="V17" s="1118"/>
      <c r="W17" s="1119"/>
      <c r="X17" s="1113"/>
      <c r="Y17" s="3421"/>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1"/>
      <c r="Q19" s="621"/>
      <c r="R19" s="1118"/>
      <c r="S19" s="1119"/>
      <c r="T19" s="1118"/>
      <c r="U19" s="1119"/>
      <c r="V19" s="1118"/>
      <c r="W19" s="1119"/>
      <c r="X19" s="1113"/>
      <c r="Y19" s="3421"/>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1"/>
      <c r="Q21" s="621"/>
      <c r="R21" s="1118"/>
      <c r="S21" s="1119"/>
      <c r="T21" s="1118"/>
      <c r="U21" s="1119"/>
      <c r="V21" s="1118"/>
      <c r="W21" s="1119"/>
      <c r="X21" s="1113"/>
      <c r="Y21" s="3421"/>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1"/>
      <c r="Q24" s="621">
        <f t="shared" ref="Q24:Q34"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6"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2"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2"/>
      <c r="Q27" s="1308" t="str">
        <f t="shared" si="11"/>
        <v>成新率</v>
      </c>
      <c r="R27" s="1120" t="s">
        <v>1358</v>
      </c>
      <c r="S27" s="1121" t="e">
        <f t="shared" si="12"/>
        <v>#N/A</v>
      </c>
      <c r="T27" s="1120" t="s">
        <v>1358</v>
      </c>
      <c r="U27" s="1121" t="e">
        <f t="shared" si="13"/>
        <v>#N/A</v>
      </c>
      <c r="V27" s="1120" t="s">
        <v>1358</v>
      </c>
      <c r="W27" s="1121" t="e">
        <f t="shared" si="14"/>
        <v>#N/A</v>
      </c>
      <c r="X27" s="1122"/>
      <c r="Y27" s="3422"/>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2"/>
      <c r="Q28" s="621" t="str">
        <f t="shared" si="11"/>
        <v>物业等级</v>
      </c>
      <c r="R28" s="1118" t="s">
        <v>1358</v>
      </c>
      <c r="S28" s="1119">
        <f t="shared" si="12"/>
        <v>100</v>
      </c>
      <c r="T28" s="1118" t="s">
        <v>1358</v>
      </c>
      <c r="U28" s="1119">
        <f t="shared" si="13"/>
        <v>100</v>
      </c>
      <c r="V28" s="1118" t="s">
        <v>1358</v>
      </c>
      <c r="W28" s="1119">
        <f t="shared" si="14"/>
        <v>100</v>
      </c>
      <c r="X28" s="1113"/>
      <c r="Y28" s="3422"/>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2"/>
      <c r="Q29" s="621" t="str">
        <f t="shared" si="11"/>
        <v>有无电梯</v>
      </c>
      <c r="R29" s="1118" t="s">
        <v>1358</v>
      </c>
      <c r="S29" s="1119">
        <f t="shared" si="12"/>
        <v>100</v>
      </c>
      <c r="T29" s="1118" t="s">
        <v>1358</v>
      </c>
      <c r="U29" s="1119">
        <f t="shared" si="13"/>
        <v>100</v>
      </c>
      <c r="V29" s="1118" t="s">
        <v>1358</v>
      </c>
      <c r="W29" s="1119">
        <f t="shared" si="14"/>
        <v>100</v>
      </c>
      <c r="X29" s="1113"/>
      <c r="Y29" s="342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2"/>
      <c r="Q30" s="621" t="str">
        <f t="shared" si="11"/>
        <v>建筑面积</v>
      </c>
      <c r="R30" s="1118" t="s">
        <v>1358</v>
      </c>
      <c r="S30" s="1119" t="e">
        <f t="shared" si="12"/>
        <v>#N/A</v>
      </c>
      <c r="T30" s="1118" t="s">
        <v>1358</v>
      </c>
      <c r="U30" s="1119" t="e">
        <f t="shared" si="13"/>
        <v>#N/A</v>
      </c>
      <c r="V30" s="1118" t="s">
        <v>1358</v>
      </c>
      <c r="W30" s="1119" t="e">
        <f t="shared" si="14"/>
        <v>#N/A</v>
      </c>
      <c r="X30" s="1113"/>
      <c r="Y30" s="3422"/>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2"/>
      <c r="Q31" s="790" t="str">
        <f t="shared" si="11"/>
        <v>是否封闭</v>
      </c>
      <c r="R31" s="1114" t="s">
        <v>1358</v>
      </c>
      <c r="S31" s="1115">
        <f t="shared" si="12"/>
        <v>100</v>
      </c>
      <c r="T31" s="1114" t="s">
        <v>1358</v>
      </c>
      <c r="U31" s="1115">
        <f t="shared" si="13"/>
        <v>100</v>
      </c>
      <c r="V31" s="1114" t="s">
        <v>1358</v>
      </c>
      <c r="W31" s="1115">
        <f t="shared" si="14"/>
        <v>100</v>
      </c>
      <c r="X31" s="1116"/>
      <c r="Y31" s="342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2" t="s">
        <v>1384</v>
      </c>
      <c r="Q32" s="621">
        <f t="shared" si="11"/>
        <v>111</v>
      </c>
      <c r="R32" s="1118" t="s">
        <v>1358</v>
      </c>
      <c r="S32" s="1119">
        <f t="shared" si="12"/>
        <v>100</v>
      </c>
      <c r="T32" s="1118" t="s">
        <v>1358</v>
      </c>
      <c r="U32" s="1119">
        <f t="shared" si="13"/>
        <v>100</v>
      </c>
      <c r="V32" s="1118" t="s">
        <v>1358</v>
      </c>
      <c r="W32" s="1119">
        <f t="shared" si="14"/>
        <v>100</v>
      </c>
      <c r="X32" s="1113"/>
      <c r="Y32" s="3422"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2"/>
      <c r="Q33" s="621">
        <f t="shared" si="11"/>
        <v>111</v>
      </c>
      <c r="R33" s="1118" t="s">
        <v>1358</v>
      </c>
      <c r="S33" s="1119">
        <f t="shared" si="12"/>
        <v>100</v>
      </c>
      <c r="T33" s="1118" t="s">
        <v>1358</v>
      </c>
      <c r="U33" s="1119">
        <f t="shared" si="13"/>
        <v>100</v>
      </c>
      <c r="V33" s="1118" t="s">
        <v>1358</v>
      </c>
      <c r="W33" s="1119">
        <f t="shared" si="14"/>
        <v>100</v>
      </c>
      <c r="X33" s="1113"/>
      <c r="Y33" s="342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08" t="str">
        <f>A35</f>
        <v>成交单价（元/平方米）</v>
      </c>
      <c r="Q35" s="3408"/>
      <c r="R35" s="3406">
        <f>E35</f>
        <v>0</v>
      </c>
      <c r="S35" s="3406"/>
      <c r="T35" s="3406">
        <f>G35</f>
        <v>0</v>
      </c>
      <c r="U35" s="3406"/>
      <c r="V35" s="3406">
        <f>I35</f>
        <v>0</v>
      </c>
      <c r="W35" s="3406"/>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8" t="str">
        <f>A36</f>
        <v>比较价值（元/平方米）</v>
      </c>
      <c r="Q36" s="340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2" t="str">
        <f>A37</f>
        <v>估价对象XX用房的比较价值（楼面单价，元/平方米）</v>
      </c>
      <c r="Q37" s="3443"/>
      <c r="R37" s="3477" t="e">
        <f>IF(F1="售价",ROUND(IF(D36="简单平均",AVERAGE(R36:W36),R36*F36+T36*H36+V36*J36),0),ROUND(IF(D36="简单平均",AVERAGE(R36:V36),R36*F36+T36*H36+V36*J36),1))</f>
        <v>#DIV/0!</v>
      </c>
      <c r="S37" s="3477"/>
      <c r="T37" s="3477"/>
      <c r="U37" s="3477"/>
      <c r="V37" s="3477"/>
      <c r="W37" s="3477"/>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2" t="s">
        <v>1361</v>
      </c>
      <c r="Q8" s="3413"/>
      <c r="R8" s="1114" t="s">
        <v>1358</v>
      </c>
      <c r="S8" s="1115">
        <f t="shared" si="0"/>
        <v>0</v>
      </c>
      <c r="T8" s="1114" t="s">
        <v>1358</v>
      </c>
      <c r="U8" s="1115">
        <f t="shared" si="1"/>
        <v>0</v>
      </c>
      <c r="V8" s="1114" t="s">
        <v>1358</v>
      </c>
      <c r="W8" s="1115">
        <f t="shared" si="2"/>
        <v>0</v>
      </c>
      <c r="X8" s="1116"/>
      <c r="Y8" s="3412" t="s">
        <v>1361</v>
      </c>
      <c r="Z8" s="3413"/>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8"/>
      <c r="Q10" s="790" t="str">
        <f t="shared" si="6"/>
        <v>土地使用年限（年）</v>
      </c>
      <c r="R10" s="1114" t="s">
        <v>1358</v>
      </c>
      <c r="S10" s="1115">
        <f t="shared" si="0"/>
        <v>116</v>
      </c>
      <c r="T10" s="1114" t="s">
        <v>1358</v>
      </c>
      <c r="U10" s="1115">
        <f t="shared" si="1"/>
        <v>116</v>
      </c>
      <c r="V10" s="1114" t="s">
        <v>1358</v>
      </c>
      <c r="W10" s="1115">
        <f t="shared" si="2"/>
        <v>116</v>
      </c>
      <c r="X10" s="1116"/>
      <c r="Y10" s="329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8"/>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8"/>
      <c r="Q12" s="790" t="str">
        <f t="shared" si="6"/>
        <v>配建</v>
      </c>
      <c r="R12" s="1114" t="s">
        <v>1358</v>
      </c>
      <c r="S12" s="1115">
        <f t="shared" si="0"/>
        <v>100</v>
      </c>
      <c r="T12" s="1114" t="s">
        <v>1358</v>
      </c>
      <c r="U12" s="1115">
        <f t="shared" si="1"/>
        <v>100</v>
      </c>
      <c r="V12" s="1114" t="s">
        <v>1358</v>
      </c>
      <c r="W12" s="1115">
        <f t="shared" si="2"/>
        <v>100</v>
      </c>
      <c r="X12" s="1116"/>
      <c r="Y12" s="3294"/>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0"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1"/>
      <c r="Q17" s="621" t="str">
        <f>B17</f>
        <v>商业繁华度</v>
      </c>
      <c r="R17" s="1118" t="s">
        <v>1358</v>
      </c>
      <c r="S17" s="1119">
        <f>F17</f>
        <v>100</v>
      </c>
      <c r="T17" s="1118" t="s">
        <v>1358</v>
      </c>
      <c r="U17" s="1119">
        <f>H17</f>
        <v>100</v>
      </c>
      <c r="V17" s="1118" t="s">
        <v>1358</v>
      </c>
      <c r="W17" s="1119">
        <f>J17</f>
        <v>100</v>
      </c>
      <c r="X17" s="1113"/>
      <c r="Y17" s="342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1"/>
      <c r="Q19" s="621" t="str">
        <f>B19</f>
        <v>办公集聚程度</v>
      </c>
      <c r="R19" s="1118" t="s">
        <v>1358</v>
      </c>
      <c r="S19" s="1119">
        <f>F19</f>
        <v>100</v>
      </c>
      <c r="T19" s="1118" t="s">
        <v>1358</v>
      </c>
      <c r="U19" s="1119">
        <f>H19</f>
        <v>100</v>
      </c>
      <c r="V19" s="1118" t="s">
        <v>1358</v>
      </c>
      <c r="W19" s="1119">
        <f>J19</f>
        <v>100</v>
      </c>
      <c r="X19" s="1113"/>
      <c r="Y19" s="342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1"/>
      <c r="Q20" s="621"/>
      <c r="R20" s="1118"/>
      <c r="S20" s="1119"/>
      <c r="T20" s="1118"/>
      <c r="U20" s="1119"/>
      <c r="V20" s="1118"/>
      <c r="W20" s="1119"/>
      <c r="X20" s="1113"/>
      <c r="Y20" s="3421"/>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1"/>
      <c r="Q21" s="621" t="str">
        <f>B21</f>
        <v>交通便捷度</v>
      </c>
      <c r="R21" s="1118" t="s">
        <v>1358</v>
      </c>
      <c r="S21" s="1119">
        <f>F21</f>
        <v>100</v>
      </c>
      <c r="T21" s="1118" t="s">
        <v>1358</v>
      </c>
      <c r="U21" s="1119">
        <f>H21</f>
        <v>100</v>
      </c>
      <c r="V21" s="1118" t="s">
        <v>1358</v>
      </c>
      <c r="W21" s="1119">
        <f>J21</f>
        <v>100</v>
      </c>
      <c r="X21" s="1113"/>
      <c r="Y21" s="342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1"/>
      <c r="Q23" s="621" t="str">
        <f t="shared" ref="Q23:Q38" si="8">B23</f>
        <v>区域土地利用方向</v>
      </c>
      <c r="R23" s="1118" t="s">
        <v>1358</v>
      </c>
      <c r="S23" s="1119">
        <f>F23</f>
        <v>100</v>
      </c>
      <c r="T23" s="1118" t="s">
        <v>1358</v>
      </c>
      <c r="U23" s="1119">
        <f>H23</f>
        <v>100</v>
      </c>
      <c r="V23" s="1118" t="s">
        <v>1358</v>
      </c>
      <c r="W23" s="1119">
        <f>J23</f>
        <v>100</v>
      </c>
      <c r="X23" s="1113"/>
      <c r="Y23" s="342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1"/>
      <c r="Q24" s="621"/>
      <c r="R24" s="1118"/>
      <c r="S24" s="1119"/>
      <c r="T24" s="1118"/>
      <c r="U24" s="1119"/>
      <c r="V24" s="1118"/>
      <c r="W24" s="1119"/>
      <c r="X24" s="1113"/>
      <c r="Y24" s="3421"/>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1"/>
      <c r="Q25" s="621" t="str">
        <f t="shared" si="8"/>
        <v>自然及人文环境状况</v>
      </c>
      <c r="R25" s="1118" t="s">
        <v>1358</v>
      </c>
      <c r="S25" s="1119">
        <f>F25</f>
        <v>100</v>
      </c>
      <c r="T25" s="1118" t="s">
        <v>1358</v>
      </c>
      <c r="U25" s="1119">
        <f>H25</f>
        <v>100</v>
      </c>
      <c r="V25" s="1118" t="s">
        <v>1358</v>
      </c>
      <c r="W25" s="1119">
        <f>J25</f>
        <v>100</v>
      </c>
      <c r="X25" s="1113"/>
      <c r="Y25" s="342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1"/>
      <c r="Q26" s="621"/>
      <c r="R26" s="1118"/>
      <c r="S26" s="1119"/>
      <c r="T26" s="1118"/>
      <c r="U26" s="1119"/>
      <c r="V26" s="1118"/>
      <c r="W26" s="1119"/>
      <c r="X26" s="1113"/>
      <c r="Y26" s="3421"/>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1"/>
      <c r="Q27" s="790" t="str">
        <f t="shared" si="8"/>
        <v>公共配套设施</v>
      </c>
      <c r="R27" s="1114" t="s">
        <v>1358</v>
      </c>
      <c r="S27" s="1115">
        <f>F27</f>
        <v>100</v>
      </c>
      <c r="T27" s="1114" t="s">
        <v>1358</v>
      </c>
      <c r="U27" s="1115">
        <f>H27</f>
        <v>100</v>
      </c>
      <c r="V27" s="1114" t="s">
        <v>1358</v>
      </c>
      <c r="W27" s="1115">
        <f>J27</f>
        <v>100</v>
      </c>
      <c r="X27" s="1116"/>
      <c r="Y27" s="342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1"/>
      <c r="Q28" s="790"/>
      <c r="R28" s="1114"/>
      <c r="S28" s="1115"/>
      <c r="T28" s="1114"/>
      <c r="U28" s="1115"/>
      <c r="V28" s="1114"/>
      <c r="W28" s="1115"/>
      <c r="X28" s="1116"/>
      <c r="Y28" s="3421"/>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1"/>
      <c r="Q29" s="790" t="str">
        <f t="shared" ref="Q29" si="9">B29</f>
        <v>基础设施水平</v>
      </c>
      <c r="R29" s="1114" t="s">
        <v>1358</v>
      </c>
      <c r="S29" s="1115">
        <f>F29</f>
        <v>100</v>
      </c>
      <c r="T29" s="1114" t="s">
        <v>1358</v>
      </c>
      <c r="U29" s="1115">
        <f>H29</f>
        <v>100</v>
      </c>
      <c r="V29" s="1114" t="s">
        <v>1358</v>
      </c>
      <c r="W29" s="1115">
        <f>J29</f>
        <v>100</v>
      </c>
      <c r="X29" s="1116"/>
      <c r="Y29" s="342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1"/>
      <c r="Q30" s="790"/>
      <c r="R30" s="1114"/>
      <c r="S30" s="1115"/>
      <c r="T30" s="1114"/>
      <c r="U30" s="1115"/>
      <c r="V30" s="1114"/>
      <c r="W30" s="1115"/>
      <c r="X30" s="1116"/>
      <c r="Y30" s="3421"/>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1"/>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1"/>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1"/>
      <c r="Q32" s="621" t="str">
        <f t="shared" si="8"/>
        <v>毗邻道路的类型与等级</v>
      </c>
      <c r="R32" s="1118" t="s">
        <v>1358</v>
      </c>
      <c r="S32" s="1119">
        <f t="shared" si="10"/>
        <v>100</v>
      </c>
      <c r="T32" s="1118" t="s">
        <v>1358</v>
      </c>
      <c r="U32" s="1119">
        <f t="shared" si="11"/>
        <v>100</v>
      </c>
      <c r="V32" s="1118" t="s">
        <v>1358</v>
      </c>
      <c r="W32" s="1119">
        <f t="shared" si="12"/>
        <v>100</v>
      </c>
      <c r="X32" s="1113"/>
      <c r="Y32" s="342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1"/>
      <c r="Q33" s="621"/>
      <c r="R33" s="1118"/>
      <c r="S33" s="1119"/>
      <c r="T33" s="1118"/>
      <c r="U33" s="1119"/>
      <c r="V33" s="1118"/>
      <c r="W33" s="1119"/>
      <c r="X33" s="1113"/>
      <c r="Y33" s="3421"/>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1"/>
      <c r="Q34" s="621" t="str">
        <f t="shared" si="8"/>
        <v>土地级别</v>
      </c>
      <c r="R34" s="1118" t="s">
        <v>1358</v>
      </c>
      <c r="S34" s="1119">
        <f t="shared" si="10"/>
        <v>100</v>
      </c>
      <c r="T34" s="1118" t="s">
        <v>1358</v>
      </c>
      <c r="U34" s="1119">
        <f t="shared" si="11"/>
        <v>100</v>
      </c>
      <c r="V34" s="1118" t="s">
        <v>1358</v>
      </c>
      <c r="W34" s="1119">
        <f t="shared" si="12"/>
        <v>100</v>
      </c>
      <c r="X34" s="1113"/>
      <c r="Y34" s="342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1"/>
      <c r="Q35" s="621">
        <f t="shared" si="8"/>
        <v>111</v>
      </c>
      <c r="R35" s="1118" t="s">
        <v>1358</v>
      </c>
      <c r="S35" s="1119">
        <f t="shared" si="10"/>
        <v>100</v>
      </c>
      <c r="T35" s="1118" t="s">
        <v>1358</v>
      </c>
      <c r="U35" s="1119">
        <f t="shared" si="11"/>
        <v>100</v>
      </c>
      <c r="V35" s="1118" t="s">
        <v>1358</v>
      </c>
      <c r="W35" s="1119">
        <f t="shared" si="12"/>
        <v>100</v>
      </c>
      <c r="X35" s="1113"/>
      <c r="Y35" s="342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6" t="s">
        <v>1384</v>
      </c>
      <c r="Q36" s="621">
        <f t="shared" si="8"/>
        <v>111</v>
      </c>
      <c r="R36" s="1118" t="s">
        <v>1358</v>
      </c>
      <c r="S36" s="1119">
        <f t="shared" si="10"/>
        <v>100</v>
      </c>
      <c r="T36" s="1118" t="s">
        <v>1358</v>
      </c>
      <c r="U36" s="1119">
        <f t="shared" si="11"/>
        <v>100</v>
      </c>
      <c r="V36" s="1118" t="s">
        <v>1358</v>
      </c>
      <c r="W36" s="1119">
        <f t="shared" si="12"/>
        <v>100</v>
      </c>
      <c r="X36" s="1113"/>
      <c r="Y36" s="3422"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2"/>
      <c r="Q37" s="621">
        <f t="shared" si="8"/>
        <v>111</v>
      </c>
      <c r="R37" s="1120" t="s">
        <v>1358</v>
      </c>
      <c r="S37" s="1121">
        <f t="shared" si="10"/>
        <v>100</v>
      </c>
      <c r="T37" s="1120" t="s">
        <v>1358</v>
      </c>
      <c r="U37" s="1121">
        <f t="shared" si="11"/>
        <v>100</v>
      </c>
      <c r="V37" s="1120" t="s">
        <v>1358</v>
      </c>
      <c r="W37" s="1121">
        <f t="shared" si="12"/>
        <v>100</v>
      </c>
      <c r="X37" s="1122"/>
      <c r="Y37" s="3422"/>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2"/>
      <c r="Q38" s="621" t="str">
        <f t="shared" si="8"/>
        <v>宗地面积</v>
      </c>
      <c r="R38" s="1118" t="s">
        <v>1358</v>
      </c>
      <c r="S38" s="1119" t="e">
        <f t="shared" si="10"/>
        <v>#N/A</v>
      </c>
      <c r="T38" s="1118" t="s">
        <v>1358</v>
      </c>
      <c r="U38" s="1119" t="e">
        <f t="shared" si="11"/>
        <v>#N/A</v>
      </c>
      <c r="V38" s="1118" t="s">
        <v>1358</v>
      </c>
      <c r="W38" s="1119" t="e">
        <f t="shared" si="12"/>
        <v>#N/A</v>
      </c>
      <c r="X38" s="1113"/>
      <c r="Y38" s="3422"/>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2"/>
      <c r="Q39" s="621" t="str">
        <f t="shared" ref="Q39:Q45" si="14">B39</f>
        <v>宗地形状</v>
      </c>
      <c r="R39" s="1118" t="s">
        <v>1358</v>
      </c>
      <c r="S39" s="1119">
        <f t="shared" si="10"/>
        <v>100</v>
      </c>
      <c r="T39" s="1118" t="s">
        <v>1358</v>
      </c>
      <c r="U39" s="1119">
        <f t="shared" si="11"/>
        <v>100</v>
      </c>
      <c r="V39" s="1118" t="s">
        <v>1358</v>
      </c>
      <c r="W39" s="1119">
        <f t="shared" si="12"/>
        <v>100</v>
      </c>
      <c r="X39" s="1113"/>
      <c r="Y39" s="3422"/>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2"/>
      <c r="Q40" s="621" t="str">
        <f t="shared" si="14"/>
        <v>临街宽度及深度</v>
      </c>
      <c r="R40" s="1118" t="s">
        <v>1358</v>
      </c>
      <c r="S40" s="1119">
        <f t="shared" si="10"/>
        <v>100</v>
      </c>
      <c r="T40" s="1118" t="s">
        <v>1358</v>
      </c>
      <c r="U40" s="1119">
        <f t="shared" si="11"/>
        <v>100</v>
      </c>
      <c r="V40" s="1118" t="s">
        <v>1358</v>
      </c>
      <c r="W40" s="1119">
        <f t="shared" si="12"/>
        <v>100</v>
      </c>
      <c r="X40" s="1113"/>
      <c r="Y40" s="3422"/>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2"/>
      <c r="Q41" s="621" t="str">
        <f t="shared" si="14"/>
        <v>宗地开发程度</v>
      </c>
      <c r="R41" s="1114" t="s">
        <v>1358</v>
      </c>
      <c r="S41" s="1115">
        <f t="shared" si="10"/>
        <v>100</v>
      </c>
      <c r="T41" s="1114" t="s">
        <v>1358</v>
      </c>
      <c r="U41" s="1115">
        <f t="shared" si="11"/>
        <v>100</v>
      </c>
      <c r="V41" s="1114" t="s">
        <v>1358</v>
      </c>
      <c r="W41" s="1115">
        <f t="shared" si="12"/>
        <v>100</v>
      </c>
      <c r="X41" s="1116"/>
      <c r="Y41" s="3422"/>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2" t="s">
        <v>1384</v>
      </c>
      <c r="Q42" s="621" t="str">
        <f t="shared" si="14"/>
        <v>工程地质条件</v>
      </c>
      <c r="R42" s="1118" t="s">
        <v>1358</v>
      </c>
      <c r="S42" s="1119">
        <f t="shared" si="10"/>
        <v>100</v>
      </c>
      <c r="T42" s="1118" t="s">
        <v>1358</v>
      </c>
      <c r="U42" s="1119">
        <f t="shared" si="11"/>
        <v>100</v>
      </c>
      <c r="V42" s="1118" t="s">
        <v>1358</v>
      </c>
      <c r="W42" s="1119">
        <f t="shared" si="12"/>
        <v>100</v>
      </c>
      <c r="X42" s="1113"/>
      <c r="Y42" s="3422"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2"/>
      <c r="Q43" s="621">
        <f t="shared" si="14"/>
        <v>111</v>
      </c>
      <c r="R43" s="1118" t="s">
        <v>1358</v>
      </c>
      <c r="S43" s="1119">
        <f t="shared" si="10"/>
        <v>100</v>
      </c>
      <c r="T43" s="1118" t="s">
        <v>1358</v>
      </c>
      <c r="U43" s="1119">
        <f t="shared" si="11"/>
        <v>100</v>
      </c>
      <c r="V43" s="1118" t="s">
        <v>1358</v>
      </c>
      <c r="W43" s="1119">
        <f t="shared" si="12"/>
        <v>100</v>
      </c>
      <c r="X43" s="1113"/>
      <c r="Y43" s="342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2"/>
      <c r="Q44" s="621">
        <f t="shared" si="14"/>
        <v>111</v>
      </c>
      <c r="R44" s="1118" t="s">
        <v>1358</v>
      </c>
      <c r="S44" s="1119">
        <f t="shared" si="10"/>
        <v>100</v>
      </c>
      <c r="T44" s="1118" t="s">
        <v>1358</v>
      </c>
      <c r="U44" s="1119">
        <f t="shared" si="11"/>
        <v>100</v>
      </c>
      <c r="V44" s="1118" t="s">
        <v>1358</v>
      </c>
      <c r="W44" s="1119">
        <f t="shared" si="12"/>
        <v>100</v>
      </c>
      <c r="X44" s="1113"/>
      <c r="Y44" s="342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2"/>
      <c r="Q45" s="621">
        <f t="shared" si="14"/>
        <v>111</v>
      </c>
      <c r="R45" s="1120" t="s">
        <v>1358</v>
      </c>
      <c r="S45" s="1121">
        <f t="shared" si="10"/>
        <v>100</v>
      </c>
      <c r="T45" s="1120" t="s">
        <v>1358</v>
      </c>
      <c r="U45" s="1121">
        <f t="shared" si="11"/>
        <v>100</v>
      </c>
      <c r="V45" s="1120" t="s">
        <v>1358</v>
      </c>
      <c r="W45" s="1121">
        <f t="shared" si="12"/>
        <v>100</v>
      </c>
      <c r="X45" s="1122"/>
      <c r="Y45" s="3422"/>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08" t="str">
        <f>A46</f>
        <v>成交单价</v>
      </c>
      <c r="Q46" s="3408"/>
      <c r="R46" s="3406">
        <f>E46</f>
        <v>0</v>
      </c>
      <c r="S46" s="3406"/>
      <c r="T46" s="3406">
        <f>G46</f>
        <v>0</v>
      </c>
      <c r="U46" s="3406"/>
      <c r="V46" s="3406">
        <f>I46</f>
        <v>0</v>
      </c>
      <c r="W46" s="3406"/>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8" t="str">
        <f>A47</f>
        <v>比较价值（元/平方米）</v>
      </c>
      <c r="Q47" s="3408"/>
      <c r="R47" s="3479" t="e">
        <f>ROUND(PRODUCT(R46,AA7:AA45),0)</f>
        <v>#DIV/0!</v>
      </c>
      <c r="S47" s="3479"/>
      <c r="T47" s="3479" t="e">
        <f>ROUND(PRODUCT(T46,AB7:AB45),0)</f>
        <v>#DIV/0!</v>
      </c>
      <c r="U47" s="3479"/>
      <c r="V47" s="3479" t="e">
        <f>ROUND(PRODUCT(V46,AC7:AC45),0)</f>
        <v>#DIV/0!</v>
      </c>
      <c r="W47" s="3479"/>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2" t="str">
        <f>A48</f>
        <v>估价对象XX用房的比较价值（楼面单价，元/平方米）</v>
      </c>
      <c r="Q48" s="3443"/>
      <c r="R48" s="3480" t="e">
        <f>ROUND(IF(D47="简单平均",AVERAGE(R47:W47),R47*F47+T47*H47+V47*J47),0)</f>
        <v>#DIV/0!</v>
      </c>
      <c r="S48" s="3480"/>
      <c r="T48" s="3480"/>
      <c r="U48" s="3480"/>
      <c r="V48" s="3480"/>
      <c r="W48" s="3480"/>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29" t="s">
        <v>1673</v>
      </c>
      <c r="H55" s="3478"/>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07"/>
      <c r="H56" s="3408"/>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81" t="s">
        <v>1697</v>
      </c>
      <c r="D6" s="3482"/>
      <c r="E6" s="3483" t="s">
        <v>1697</v>
      </c>
      <c r="F6" s="3484"/>
      <c r="G6" s="3481" t="s">
        <v>1697</v>
      </c>
      <c r="H6" s="3482"/>
      <c r="I6" s="3481" t="s">
        <v>1697</v>
      </c>
      <c r="J6" s="3482"/>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2" t="s">
        <v>1361</v>
      </c>
      <c r="Q8" s="3413"/>
      <c r="R8" s="1114" t="s">
        <v>1358</v>
      </c>
      <c r="S8" s="1115">
        <f t="shared" si="0"/>
        <v>0</v>
      </c>
      <c r="T8" s="1114" t="s">
        <v>1358</v>
      </c>
      <c r="U8" s="1115">
        <f t="shared" si="1"/>
        <v>0</v>
      </c>
      <c r="V8" s="1114" t="s">
        <v>1358</v>
      </c>
      <c r="W8" s="1115">
        <f t="shared" si="2"/>
        <v>0</v>
      </c>
      <c r="X8" s="1116"/>
      <c r="Y8" s="3412" t="s">
        <v>1361</v>
      </c>
      <c r="Z8" s="3413"/>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8"/>
      <c r="Q10" s="790" t="str">
        <f t="shared" si="6"/>
        <v>土地使用年限（年）</v>
      </c>
      <c r="R10" s="1114" t="s">
        <v>1358</v>
      </c>
      <c r="S10" s="1115">
        <f t="shared" si="0"/>
        <v>116</v>
      </c>
      <c r="T10" s="1114" t="s">
        <v>1358</v>
      </c>
      <c r="U10" s="1115">
        <f t="shared" si="1"/>
        <v>116</v>
      </c>
      <c r="V10" s="1114" t="s">
        <v>1358</v>
      </c>
      <c r="W10" s="1115">
        <f t="shared" si="2"/>
        <v>116</v>
      </c>
      <c r="X10" s="1116"/>
      <c r="Y10" s="329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8"/>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1"/>
      <c r="Q19" s="621" t="str">
        <f t="shared" ref="Q19:Q34" si="8">B19</f>
        <v>区域土地利用方向</v>
      </c>
      <c r="R19" s="1118" t="s">
        <v>1358</v>
      </c>
      <c r="S19" s="1119">
        <f>F19</f>
        <v>100</v>
      </c>
      <c r="T19" s="1118" t="s">
        <v>1358</v>
      </c>
      <c r="U19" s="1119">
        <f>H19</f>
        <v>100</v>
      </c>
      <c r="V19" s="1118" t="s">
        <v>1358</v>
      </c>
      <c r="W19" s="1119">
        <f>J19</f>
        <v>100</v>
      </c>
      <c r="X19" s="1113"/>
      <c r="Y19" s="342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1"/>
      <c r="Q20" s="621"/>
      <c r="R20" s="1118"/>
      <c r="S20" s="1119"/>
      <c r="T20" s="1118"/>
      <c r="U20" s="1119"/>
      <c r="V20" s="1118"/>
      <c r="W20" s="1119"/>
      <c r="X20" s="1113"/>
      <c r="Y20" s="3421"/>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1"/>
      <c r="Q21" s="621" t="str">
        <f t="shared" si="8"/>
        <v>环境状况</v>
      </c>
      <c r="R21" s="1118" t="s">
        <v>1358</v>
      </c>
      <c r="S21" s="1119">
        <f>F21</f>
        <v>100</v>
      </c>
      <c r="T21" s="1118" t="s">
        <v>1358</v>
      </c>
      <c r="U21" s="1119">
        <f>H21</f>
        <v>100</v>
      </c>
      <c r="V21" s="1118" t="s">
        <v>1358</v>
      </c>
      <c r="W21" s="1119">
        <f>J21</f>
        <v>100</v>
      </c>
      <c r="X21" s="1113"/>
      <c r="Y21" s="342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1"/>
      <c r="Q23" s="790" t="str">
        <f t="shared" si="8"/>
        <v>公共配套设施</v>
      </c>
      <c r="R23" s="1114" t="s">
        <v>1358</v>
      </c>
      <c r="S23" s="1115">
        <f>F23</f>
        <v>100</v>
      </c>
      <c r="T23" s="1114" t="s">
        <v>1358</v>
      </c>
      <c r="U23" s="1115">
        <f>H23</f>
        <v>100</v>
      </c>
      <c r="V23" s="1114" t="s">
        <v>1358</v>
      </c>
      <c r="W23" s="1115">
        <f>J23</f>
        <v>100</v>
      </c>
      <c r="X23" s="1116"/>
      <c r="Y23" s="342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1"/>
      <c r="Q24" s="790"/>
      <c r="R24" s="1114"/>
      <c r="S24" s="1115"/>
      <c r="T24" s="1114"/>
      <c r="U24" s="1115"/>
      <c r="V24" s="1114"/>
      <c r="W24" s="1115"/>
      <c r="X24" s="1116"/>
      <c r="Y24" s="3421"/>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1"/>
      <c r="Q25" s="790" t="str">
        <f t="shared" ref="Q25" si="9">B25</f>
        <v>基础设施水平</v>
      </c>
      <c r="R25" s="1114" t="s">
        <v>1358</v>
      </c>
      <c r="S25" s="1115">
        <f>F25</f>
        <v>100</v>
      </c>
      <c r="T25" s="1114" t="s">
        <v>1358</v>
      </c>
      <c r="U25" s="1115">
        <f>H25</f>
        <v>100</v>
      </c>
      <c r="V25" s="1114" t="s">
        <v>1358</v>
      </c>
      <c r="W25" s="1115">
        <f>J25</f>
        <v>100</v>
      </c>
      <c r="X25" s="1116"/>
      <c r="Y25" s="342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1"/>
      <c r="Q26" s="790"/>
      <c r="R26" s="1114"/>
      <c r="S26" s="1115"/>
      <c r="T26" s="1114"/>
      <c r="U26" s="1115"/>
      <c r="V26" s="1114"/>
      <c r="W26" s="1115"/>
      <c r="X26" s="1116"/>
      <c r="Y26" s="3421"/>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1"/>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1"/>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1"/>
      <c r="Q28" s="621" t="str">
        <f t="shared" si="8"/>
        <v>毗邻道路的类型与等级</v>
      </c>
      <c r="R28" s="1118" t="s">
        <v>1358</v>
      </c>
      <c r="S28" s="1119">
        <f t="shared" si="10"/>
        <v>100</v>
      </c>
      <c r="T28" s="1118" t="s">
        <v>1358</v>
      </c>
      <c r="U28" s="1119">
        <f t="shared" si="11"/>
        <v>100</v>
      </c>
      <c r="V28" s="1118" t="s">
        <v>1358</v>
      </c>
      <c r="W28" s="1119">
        <f t="shared" si="12"/>
        <v>100</v>
      </c>
      <c r="X28" s="1113"/>
      <c r="Y28" s="342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1"/>
      <c r="Q29" s="621"/>
      <c r="R29" s="1118"/>
      <c r="S29" s="1119"/>
      <c r="T29" s="1118"/>
      <c r="U29" s="1119"/>
      <c r="V29" s="1118"/>
      <c r="W29" s="1119"/>
      <c r="X29" s="1113"/>
      <c r="Y29" s="3421"/>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1"/>
      <c r="Q30" s="621" t="str">
        <f t="shared" si="8"/>
        <v>土地级别</v>
      </c>
      <c r="R30" s="1118" t="s">
        <v>1358</v>
      </c>
      <c r="S30" s="1119">
        <f t="shared" si="10"/>
        <v>100</v>
      </c>
      <c r="T30" s="1118" t="s">
        <v>1358</v>
      </c>
      <c r="U30" s="1119">
        <f t="shared" si="11"/>
        <v>100</v>
      </c>
      <c r="V30" s="1118" t="s">
        <v>1358</v>
      </c>
      <c r="W30" s="1119">
        <f t="shared" si="12"/>
        <v>100</v>
      </c>
      <c r="X30" s="1113"/>
      <c r="Y30" s="342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1"/>
      <c r="Q31" s="621">
        <f t="shared" si="8"/>
        <v>111</v>
      </c>
      <c r="R31" s="1118" t="s">
        <v>1358</v>
      </c>
      <c r="S31" s="1119">
        <f t="shared" si="10"/>
        <v>100</v>
      </c>
      <c r="T31" s="1118" t="s">
        <v>1358</v>
      </c>
      <c r="U31" s="1119">
        <f t="shared" si="11"/>
        <v>100</v>
      </c>
      <c r="V31" s="1118" t="s">
        <v>1358</v>
      </c>
      <c r="W31" s="1119">
        <f t="shared" si="12"/>
        <v>100</v>
      </c>
      <c r="X31" s="1113"/>
      <c r="Y31" s="342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6" t="s">
        <v>1384</v>
      </c>
      <c r="Q32" s="621">
        <f t="shared" si="8"/>
        <v>111</v>
      </c>
      <c r="R32" s="1118" t="s">
        <v>1358</v>
      </c>
      <c r="S32" s="1119">
        <f t="shared" si="10"/>
        <v>100</v>
      </c>
      <c r="T32" s="1118" t="s">
        <v>1358</v>
      </c>
      <c r="U32" s="1119">
        <f t="shared" si="11"/>
        <v>100</v>
      </c>
      <c r="V32" s="1118" t="s">
        <v>1358</v>
      </c>
      <c r="W32" s="1119">
        <f t="shared" si="12"/>
        <v>100</v>
      </c>
      <c r="X32" s="1113"/>
      <c r="Y32" s="3422"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2"/>
      <c r="Q33" s="621">
        <f t="shared" si="8"/>
        <v>111</v>
      </c>
      <c r="R33" s="1120" t="s">
        <v>1358</v>
      </c>
      <c r="S33" s="1121">
        <f t="shared" si="10"/>
        <v>100</v>
      </c>
      <c r="T33" s="1120" t="s">
        <v>1358</v>
      </c>
      <c r="U33" s="1121">
        <f t="shared" si="11"/>
        <v>100</v>
      </c>
      <c r="V33" s="1120" t="s">
        <v>1358</v>
      </c>
      <c r="W33" s="1121">
        <f t="shared" si="12"/>
        <v>100</v>
      </c>
      <c r="X33" s="1122"/>
      <c r="Y33" s="3422"/>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2"/>
      <c r="Q34" s="621" t="str">
        <f t="shared" si="8"/>
        <v>宗地面积</v>
      </c>
      <c r="R34" s="1118" t="s">
        <v>1358</v>
      </c>
      <c r="S34" s="1119" t="e">
        <f t="shared" si="10"/>
        <v>#N/A</v>
      </c>
      <c r="T34" s="1118" t="s">
        <v>1358</v>
      </c>
      <c r="U34" s="1119" t="e">
        <f t="shared" si="11"/>
        <v>#N/A</v>
      </c>
      <c r="V34" s="1118" t="s">
        <v>1358</v>
      </c>
      <c r="W34" s="1119" t="e">
        <f t="shared" si="12"/>
        <v>#N/A</v>
      </c>
      <c r="X34" s="1113"/>
      <c r="Y34" s="3422"/>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2"/>
      <c r="Q35" s="621" t="str">
        <f t="shared" ref="Q35:Q40" si="14">B35</f>
        <v>宗地形状</v>
      </c>
      <c r="R35" s="1118" t="s">
        <v>1358</v>
      </c>
      <c r="S35" s="1119">
        <f t="shared" si="10"/>
        <v>100</v>
      </c>
      <c r="T35" s="1118" t="s">
        <v>1358</v>
      </c>
      <c r="U35" s="1119">
        <f t="shared" si="11"/>
        <v>100</v>
      </c>
      <c r="V35" s="1118" t="s">
        <v>1358</v>
      </c>
      <c r="W35" s="1119">
        <f t="shared" si="12"/>
        <v>100</v>
      </c>
      <c r="X35" s="1113"/>
      <c r="Y35" s="3422"/>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2"/>
      <c r="Q36" s="621" t="str">
        <f t="shared" si="14"/>
        <v>宗地开发程度</v>
      </c>
      <c r="R36" s="1114" t="s">
        <v>1358</v>
      </c>
      <c r="S36" s="1115">
        <f t="shared" si="10"/>
        <v>100</v>
      </c>
      <c r="T36" s="1114" t="s">
        <v>1358</v>
      </c>
      <c r="U36" s="1115">
        <f t="shared" si="11"/>
        <v>100</v>
      </c>
      <c r="V36" s="1114" t="s">
        <v>1358</v>
      </c>
      <c r="W36" s="1115">
        <f t="shared" si="12"/>
        <v>100</v>
      </c>
      <c r="X36" s="1116"/>
      <c r="Y36" s="3422"/>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2" t="s">
        <v>1384</v>
      </c>
      <c r="Q37" s="621" t="str">
        <f t="shared" si="14"/>
        <v>工程地质条件</v>
      </c>
      <c r="R37" s="1118" t="s">
        <v>1358</v>
      </c>
      <c r="S37" s="1119">
        <f t="shared" si="10"/>
        <v>100</v>
      </c>
      <c r="T37" s="1118" t="s">
        <v>1358</v>
      </c>
      <c r="U37" s="1119">
        <f t="shared" si="11"/>
        <v>100</v>
      </c>
      <c r="V37" s="1118" t="s">
        <v>1358</v>
      </c>
      <c r="W37" s="1119">
        <f t="shared" si="12"/>
        <v>100</v>
      </c>
      <c r="X37" s="1113"/>
      <c r="Y37" s="3422"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2"/>
      <c r="Q38" s="621">
        <f t="shared" si="14"/>
        <v>111</v>
      </c>
      <c r="R38" s="1118" t="s">
        <v>1358</v>
      </c>
      <c r="S38" s="1119">
        <f t="shared" si="10"/>
        <v>100</v>
      </c>
      <c r="T38" s="1118" t="s">
        <v>1358</v>
      </c>
      <c r="U38" s="1119">
        <f t="shared" si="11"/>
        <v>100</v>
      </c>
      <c r="V38" s="1118" t="s">
        <v>1358</v>
      </c>
      <c r="W38" s="1119">
        <f t="shared" si="12"/>
        <v>100</v>
      </c>
      <c r="X38" s="1113"/>
      <c r="Y38" s="342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2"/>
      <c r="Q39" s="621">
        <f t="shared" si="14"/>
        <v>111</v>
      </c>
      <c r="R39" s="1118" t="s">
        <v>1358</v>
      </c>
      <c r="S39" s="1119">
        <f t="shared" si="10"/>
        <v>100</v>
      </c>
      <c r="T39" s="1118" t="s">
        <v>1358</v>
      </c>
      <c r="U39" s="1119">
        <f t="shared" si="11"/>
        <v>100</v>
      </c>
      <c r="V39" s="1118" t="s">
        <v>1358</v>
      </c>
      <c r="W39" s="1119">
        <f t="shared" si="12"/>
        <v>100</v>
      </c>
      <c r="X39" s="1113"/>
      <c r="Y39" s="342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2"/>
      <c r="Q40" s="621">
        <f t="shared" si="14"/>
        <v>111</v>
      </c>
      <c r="R40" s="1120" t="s">
        <v>1358</v>
      </c>
      <c r="S40" s="1121">
        <f t="shared" si="10"/>
        <v>100</v>
      </c>
      <c r="T40" s="1120" t="s">
        <v>1358</v>
      </c>
      <c r="U40" s="1121">
        <f t="shared" si="11"/>
        <v>100</v>
      </c>
      <c r="V40" s="1120" t="s">
        <v>1358</v>
      </c>
      <c r="W40" s="1121">
        <f t="shared" si="12"/>
        <v>100</v>
      </c>
      <c r="X40" s="1122"/>
      <c r="Y40" s="3422"/>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08" t="str">
        <f>A41</f>
        <v>成交单价</v>
      </c>
      <c r="Q41" s="3408"/>
      <c r="R41" s="3406">
        <f>E41</f>
        <v>0</v>
      </c>
      <c r="S41" s="3406"/>
      <c r="T41" s="3406">
        <f>G41</f>
        <v>0</v>
      </c>
      <c r="U41" s="3406"/>
      <c r="V41" s="3406">
        <f>I41</f>
        <v>0</v>
      </c>
      <c r="W41" s="3406"/>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8" t="str">
        <f>A42</f>
        <v>比较价值（元/平方米）</v>
      </c>
      <c r="Q42" s="3408"/>
      <c r="R42" s="3479" t="e">
        <f>ROUND(PRODUCT(R41,AA7:AA40),0)</f>
        <v>#DIV/0!</v>
      </c>
      <c r="S42" s="3479"/>
      <c r="T42" s="3479" t="e">
        <f>ROUND(PRODUCT(T41,AB7:AB40),0)</f>
        <v>#DIV/0!</v>
      </c>
      <c r="U42" s="3479"/>
      <c r="V42" s="3479" t="e">
        <f>ROUND(PRODUCT(V41,AC7:AC40),0)</f>
        <v>#DIV/0!</v>
      </c>
      <c r="W42" s="3479"/>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2" t="str">
        <f>A43</f>
        <v>估价对象XX用房的比较价值（楼面单价，元/平方米）</v>
      </c>
      <c r="Q43" s="3443"/>
      <c r="R43" s="3480" t="e">
        <f>ROUND(IF(D42="简单平均",AVERAGE(R42:W42),R42*F42+T42*H42+V42*J42),0)</f>
        <v>#DIV/0!</v>
      </c>
      <c r="S43" s="3480"/>
      <c r="T43" s="3480"/>
      <c r="U43" s="3480"/>
      <c r="V43" s="3480"/>
      <c r="W43" s="3480"/>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29" t="s">
        <v>1673</v>
      </c>
      <c r="H50" s="3478"/>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07"/>
      <c r="H51" s="3408"/>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79" t="s">
        <v>1716</v>
      </c>
    </row>
    <row r="43" spans="1:7" ht="13.5" customHeight="1">
      <c r="A43" s="386" t="s">
        <v>1008</v>
      </c>
      <c r="B43" s="359" t="s">
        <v>1046</v>
      </c>
      <c r="C43" s="388" t="e">
        <f ca="1">ROUND(IF('数据-取费表'!B22&lt;=1,C39*F22*'数据-取费表'!B20/2,C39*(POWER((1+F22),'数据-取费表'!B20/2)-1)),0)</f>
        <v>#N/A</v>
      </c>
      <c r="D43" s="388"/>
      <c r="E43" s="388"/>
      <c r="F43" s="389"/>
      <c r="G43" s="3380"/>
    </row>
    <row r="44" spans="1:7" ht="13.5" customHeight="1">
      <c r="A44" s="386" t="s">
        <v>1010</v>
      </c>
      <c r="B44" s="359" t="s">
        <v>1048</v>
      </c>
      <c r="C44" s="388">
        <f ca="1">ROUND(IF('数据-取费表'!B22&lt;=1,C40*F22*'数据-取费表'!B20/2,C40*(POWER((1+F22),'数据-取费表'!B20/2)-1)),4)</f>
        <v>5.9999999999999995E-4</v>
      </c>
      <c r="D44" s="388"/>
      <c r="E44" s="388"/>
      <c r="F44" s="389"/>
      <c r="G44" s="3381"/>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5"/>
      <c r="B4" s="3486"/>
      <c r="C4" s="3486"/>
      <c r="D4" s="3487"/>
      <c r="E4" s="3487"/>
      <c r="F4" s="3487"/>
      <c r="G4" s="3487"/>
      <c r="H4" s="3487"/>
      <c r="I4" s="3487"/>
      <c r="J4" s="3488"/>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89" t="s">
        <v>1751</v>
      </c>
      <c r="X8" s="3490"/>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3"/>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3"/>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5" t="s">
        <v>1800</v>
      </c>
      <c r="B20" s="586" t="s">
        <v>1801</v>
      </c>
      <c r="C20" s="587" t="e">
        <f>ROUND(IF(F21="与级别开发程度一致",0,(G21-E21)/C21),0)</f>
        <v>#DIV/0!</v>
      </c>
      <c r="D20" s="588" t="s">
        <v>1802</v>
      </c>
      <c r="E20" s="589"/>
      <c r="F20" s="3491" t="s">
        <v>1803</v>
      </c>
      <c r="G20" s="3492"/>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6"/>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7"/>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8"/>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8"/>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3" t="s">
        <v>1903</v>
      </c>
      <c r="B103" s="3493"/>
      <c r="C103" s="3493"/>
      <c r="D103" s="3493"/>
      <c r="E103" s="3493"/>
      <c r="F103" s="3493"/>
      <c r="G103" s="3493"/>
      <c r="H103" s="3493"/>
      <c r="I103" s="3493"/>
      <c r="J103" s="3493"/>
      <c r="K103" s="847"/>
      <c r="L103" s="847"/>
      <c r="M103" s="847"/>
      <c r="N103" s="847"/>
    </row>
    <row r="104" spans="1:14">
      <c r="A104" s="3499" t="s">
        <v>1904</v>
      </c>
      <c r="B104" s="3499" t="s">
        <v>1905</v>
      </c>
      <c r="C104" s="849" t="s">
        <v>1906</v>
      </c>
      <c r="D104" s="850"/>
      <c r="E104" s="850"/>
      <c r="F104" s="850"/>
      <c r="G104" s="850"/>
      <c r="H104" s="850"/>
      <c r="I104" s="850"/>
      <c r="J104" s="869"/>
      <c r="K104" s="870"/>
      <c r="L104" s="870"/>
      <c r="M104" s="870"/>
      <c r="N104" s="870"/>
    </row>
    <row r="105" spans="1:14">
      <c r="A105" s="3499"/>
      <c r="B105" s="3499"/>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0"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1"/>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1"/>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1"/>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1"/>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1"/>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2"/>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4" t="s">
        <v>1908</v>
      </c>
      <c r="B113" s="3494"/>
      <c r="C113" s="3494"/>
      <c r="D113" s="3494"/>
      <c r="E113" s="3494"/>
      <c r="F113" s="3494"/>
      <c r="G113" s="3494"/>
      <c r="H113" s="3494"/>
      <c r="I113" s="3494"/>
      <c r="J113" s="3494"/>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8" t="s">
        <v>1923</v>
      </c>
      <c r="B20" s="3514" t="s">
        <v>1932</v>
      </c>
      <c r="C20" s="465" t="s">
        <v>1933</v>
      </c>
      <c r="D20" s="466"/>
      <c r="E20" s="467">
        <v>1</v>
      </c>
      <c r="F20" s="468" t="s">
        <v>1934</v>
      </c>
      <c r="G20" s="468"/>
    </row>
    <row r="21" spans="1:13" ht="19.5" customHeight="1">
      <c r="A21" s="3509"/>
      <c r="B21" s="3507"/>
      <c r="C21" s="469" t="s">
        <v>1935</v>
      </c>
      <c r="D21" s="470"/>
      <c r="E21" s="471">
        <v>1</v>
      </c>
      <c r="F21" s="468" t="s">
        <v>1936</v>
      </c>
      <c r="G21" s="468"/>
    </row>
    <row r="22" spans="1:13" ht="19.5" customHeight="1">
      <c r="A22" s="3509"/>
      <c r="B22" s="3507"/>
      <c r="C22" s="469" t="s">
        <v>1937</v>
      </c>
      <c r="D22" s="470"/>
      <c r="E22" s="471">
        <v>0.9</v>
      </c>
      <c r="F22" s="468" t="s">
        <v>1938</v>
      </c>
      <c r="G22" s="468"/>
    </row>
    <row r="23" spans="1:13" ht="19.5" customHeight="1">
      <c r="A23" s="3509"/>
      <c r="B23" s="3507"/>
      <c r="C23" s="469" t="s">
        <v>1939</v>
      </c>
      <c r="D23" s="470"/>
      <c r="E23" s="471">
        <v>0.9</v>
      </c>
      <c r="F23" s="468" t="s">
        <v>1940</v>
      </c>
      <c r="G23" s="468"/>
    </row>
    <row r="24" spans="1:13" ht="19.5" customHeight="1">
      <c r="A24" s="3509"/>
      <c r="B24" s="3507"/>
      <c r="C24" s="469" t="s">
        <v>1941</v>
      </c>
      <c r="D24" s="470"/>
      <c r="E24" s="471">
        <v>0.8</v>
      </c>
      <c r="F24" s="468" t="s">
        <v>1942</v>
      </c>
      <c r="G24" s="468"/>
    </row>
    <row r="25" spans="1:13" ht="19.5" customHeight="1">
      <c r="A25" s="3510"/>
      <c r="B25" s="3515"/>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1" t="s">
        <v>280</v>
      </c>
      <c r="B27" s="3514" t="s">
        <v>280</v>
      </c>
      <c r="C27" s="465" t="s">
        <v>1946</v>
      </c>
      <c r="D27" s="466"/>
      <c r="E27" s="467">
        <v>1</v>
      </c>
      <c r="F27" s="468" t="s">
        <v>1947</v>
      </c>
      <c r="G27" s="468"/>
    </row>
    <row r="28" spans="1:13" ht="19.5" customHeight="1">
      <c r="A28" s="3512"/>
      <c r="B28" s="3507"/>
      <c r="C28" s="469" t="s">
        <v>1948</v>
      </c>
      <c r="D28" s="470"/>
      <c r="E28" s="471">
        <v>1</v>
      </c>
      <c r="F28" s="468" t="s">
        <v>1949</v>
      </c>
      <c r="G28" s="468"/>
    </row>
    <row r="29" spans="1:13" ht="19.5" customHeight="1">
      <c r="A29" s="3512"/>
      <c r="B29" s="3507"/>
      <c r="C29" s="469" t="s">
        <v>1950</v>
      </c>
      <c r="D29" s="470"/>
      <c r="E29" s="471">
        <v>0.8</v>
      </c>
      <c r="F29" s="468" t="s">
        <v>1951</v>
      </c>
      <c r="G29" s="468"/>
    </row>
    <row r="30" spans="1:13" ht="19.5" customHeight="1">
      <c r="A30" s="3512"/>
      <c r="B30" s="3507"/>
      <c r="C30" s="469" t="s">
        <v>1952</v>
      </c>
      <c r="D30" s="470"/>
      <c r="E30" s="471">
        <v>0.8</v>
      </c>
      <c r="F30" s="468" t="s">
        <v>1953</v>
      </c>
      <c r="G30" s="468"/>
    </row>
    <row r="31" spans="1:13" ht="19.5" customHeight="1">
      <c r="A31" s="3512"/>
      <c r="B31" s="3507"/>
      <c r="C31" s="469" t="s">
        <v>1954</v>
      </c>
      <c r="D31" s="470"/>
      <c r="E31" s="471">
        <v>0.8</v>
      </c>
      <c r="F31" s="468" t="s">
        <v>1955</v>
      </c>
      <c r="G31" s="468"/>
    </row>
    <row r="32" spans="1:13" ht="19.5" customHeight="1">
      <c r="A32" s="3512"/>
      <c r="B32" s="3507"/>
      <c r="C32" s="469" t="s">
        <v>1956</v>
      </c>
      <c r="D32" s="470"/>
      <c r="E32" s="471">
        <v>0.7</v>
      </c>
      <c r="F32" s="468" t="s">
        <v>1957</v>
      </c>
      <c r="G32" s="468"/>
    </row>
    <row r="33" spans="1:7" ht="19.5" customHeight="1">
      <c r="A33" s="3512"/>
      <c r="B33" s="3507"/>
      <c r="C33" s="469" t="s">
        <v>1958</v>
      </c>
      <c r="D33" s="470"/>
      <c r="E33" s="471">
        <v>0.8</v>
      </c>
      <c r="F33" s="468" t="s">
        <v>1959</v>
      </c>
      <c r="G33" s="468"/>
    </row>
    <row r="34" spans="1:7" ht="19.5" customHeight="1">
      <c r="A34" s="3512"/>
      <c r="B34" s="3507"/>
      <c r="C34" s="469" t="s">
        <v>1960</v>
      </c>
      <c r="D34" s="470"/>
      <c r="E34" s="471">
        <v>0.6</v>
      </c>
      <c r="F34" s="468" t="s">
        <v>1961</v>
      </c>
      <c r="G34" s="468"/>
    </row>
    <row r="35" spans="1:7" ht="19.5" customHeight="1">
      <c r="A35" s="3512"/>
      <c r="B35" s="3507"/>
      <c r="C35" s="469" t="s">
        <v>1962</v>
      </c>
      <c r="D35" s="470"/>
      <c r="E35" s="471">
        <v>0.2</v>
      </c>
      <c r="F35" s="468" t="s">
        <v>1963</v>
      </c>
      <c r="G35" s="468"/>
    </row>
    <row r="36" spans="1:7" ht="19.5" customHeight="1">
      <c r="A36" s="3512"/>
      <c r="B36" s="3507"/>
      <c r="C36" s="469" t="s">
        <v>1964</v>
      </c>
      <c r="D36" s="470"/>
      <c r="E36" s="471">
        <v>0.2</v>
      </c>
      <c r="F36" s="468" t="s">
        <v>1965</v>
      </c>
      <c r="G36" s="468"/>
    </row>
    <row r="37" spans="1:7" ht="19.5" customHeight="1">
      <c r="A37" s="3512"/>
      <c r="B37" s="3505" t="s">
        <v>1966</v>
      </c>
      <c r="C37" s="469" t="s">
        <v>1967</v>
      </c>
      <c r="D37" s="470"/>
      <c r="E37" s="471">
        <v>0.6</v>
      </c>
      <c r="F37" s="468" t="s">
        <v>1968</v>
      </c>
      <c r="G37" s="468"/>
    </row>
    <row r="38" spans="1:7" ht="19.5" customHeight="1">
      <c r="A38" s="3512"/>
      <c r="B38" s="3507"/>
      <c r="C38" s="469" t="s">
        <v>1969</v>
      </c>
      <c r="D38" s="470"/>
      <c r="E38" s="471">
        <v>0.6</v>
      </c>
      <c r="F38" s="468" t="s">
        <v>1970</v>
      </c>
      <c r="G38" s="468"/>
    </row>
    <row r="39" spans="1:7" ht="19.5" customHeight="1">
      <c r="A39" s="3513"/>
      <c r="B39" s="3515"/>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8" t="s">
        <v>408</v>
      </c>
      <c r="B41" s="3514" t="s">
        <v>1975</v>
      </c>
      <c r="C41" s="465" t="s">
        <v>1976</v>
      </c>
      <c r="D41" s="466"/>
      <c r="E41" s="467">
        <v>1</v>
      </c>
      <c r="F41" s="468" t="s">
        <v>1977</v>
      </c>
      <c r="G41" s="468"/>
    </row>
    <row r="42" spans="1:7" ht="19.5" customHeight="1">
      <c r="A42" s="3509"/>
      <c r="B42" s="3507"/>
      <c r="C42" s="469" t="s">
        <v>1978</v>
      </c>
      <c r="D42" s="470"/>
      <c r="E42" s="471">
        <v>1</v>
      </c>
      <c r="F42" s="468" t="s">
        <v>1979</v>
      </c>
      <c r="G42" s="468"/>
    </row>
    <row r="43" spans="1:7" ht="19.5" customHeight="1">
      <c r="A43" s="3509"/>
      <c r="B43" s="3506"/>
      <c r="C43" s="469" t="s">
        <v>1980</v>
      </c>
      <c r="D43" s="470"/>
      <c r="E43" s="471">
        <v>1.5</v>
      </c>
      <c r="F43" s="468" t="s">
        <v>1981</v>
      </c>
      <c r="G43" s="468"/>
    </row>
    <row r="44" spans="1:7" ht="19.5" customHeight="1">
      <c r="A44" s="3509"/>
      <c r="B44" s="481" t="s">
        <v>280</v>
      </c>
      <c r="C44" s="469" t="s">
        <v>1924</v>
      </c>
      <c r="D44" s="470"/>
      <c r="E44" s="471">
        <v>2</v>
      </c>
      <c r="F44" s="468" t="s">
        <v>1982</v>
      </c>
      <c r="G44" s="468"/>
    </row>
    <row r="45" spans="1:7" ht="19.5" customHeight="1">
      <c r="A45" s="3509"/>
      <c r="B45" s="3505" t="s">
        <v>1983</v>
      </c>
      <c r="C45" s="469" t="s">
        <v>1984</v>
      </c>
      <c r="D45" s="470"/>
      <c r="E45" s="471">
        <v>1</v>
      </c>
      <c r="F45" s="468" t="s">
        <v>1985</v>
      </c>
      <c r="G45" s="468"/>
    </row>
    <row r="46" spans="1:7" ht="19.5" customHeight="1">
      <c r="A46" s="3509"/>
      <c r="B46" s="3507"/>
      <c r="C46" s="469" t="s">
        <v>1986</v>
      </c>
      <c r="D46" s="470"/>
      <c r="E46" s="471">
        <v>1</v>
      </c>
      <c r="F46" s="468" t="s">
        <v>1987</v>
      </c>
      <c r="G46" s="468"/>
    </row>
    <row r="47" spans="1:7" ht="19.5" customHeight="1">
      <c r="A47" s="3509"/>
      <c r="B47" s="3507"/>
      <c r="C47" s="469" t="s">
        <v>1988</v>
      </c>
      <c r="D47" s="470"/>
      <c r="E47" s="471">
        <v>1</v>
      </c>
      <c r="F47" s="468" t="s">
        <v>1989</v>
      </c>
      <c r="G47" s="468"/>
    </row>
    <row r="48" spans="1:7" ht="19.5" customHeight="1">
      <c r="A48" s="3509"/>
      <c r="B48" s="3507"/>
      <c r="C48" s="469" t="s">
        <v>1990</v>
      </c>
      <c r="D48" s="470"/>
      <c r="E48" s="471">
        <v>1</v>
      </c>
      <c r="F48" s="468" t="s">
        <v>1991</v>
      </c>
      <c r="G48" s="468"/>
    </row>
    <row r="49" spans="1:7" ht="19.5" customHeight="1">
      <c r="A49" s="3509"/>
      <c r="B49" s="3507"/>
      <c r="C49" s="469" t="s">
        <v>1992</v>
      </c>
      <c r="D49" s="470"/>
      <c r="E49" s="471">
        <v>1</v>
      </c>
      <c r="F49" s="468" t="s">
        <v>1993</v>
      </c>
      <c r="G49" s="468"/>
    </row>
    <row r="50" spans="1:7" ht="19.5" customHeight="1">
      <c r="A50" s="3509"/>
      <c r="B50" s="3507"/>
      <c r="C50" s="469" t="s">
        <v>1994</v>
      </c>
      <c r="D50" s="470"/>
      <c r="E50" s="471">
        <v>1</v>
      </c>
      <c r="F50" s="468" t="s">
        <v>1995</v>
      </c>
      <c r="G50" s="468"/>
    </row>
    <row r="51" spans="1:7" ht="19.5" customHeight="1">
      <c r="A51" s="3510"/>
      <c r="B51" s="3515"/>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05" t="s">
        <v>2007</v>
      </c>
      <c r="C73" s="457" t="s">
        <v>2008</v>
      </c>
      <c r="D73" s="457" t="s">
        <v>2009</v>
      </c>
      <c r="E73" s="481">
        <v>0.2</v>
      </c>
      <c r="F73" s="481">
        <v>25</v>
      </c>
    </row>
    <row r="74" spans="1:7" ht="24">
      <c r="A74" s="481">
        <v>2</v>
      </c>
      <c r="B74" s="3507"/>
      <c r="C74" s="457" t="s">
        <v>2010</v>
      </c>
      <c r="D74" s="457" t="s">
        <v>2011</v>
      </c>
      <c r="E74" s="481">
        <v>0.2</v>
      </c>
      <c r="F74" s="481">
        <v>25</v>
      </c>
    </row>
    <row r="75" spans="1:7" ht="24">
      <c r="A75" s="481">
        <v>3</v>
      </c>
      <c r="B75" s="3507"/>
      <c r="C75" s="457" t="s">
        <v>2012</v>
      </c>
      <c r="D75" s="457" t="s">
        <v>2013</v>
      </c>
      <c r="E75" s="481">
        <v>0.2</v>
      </c>
      <c r="F75" s="481">
        <v>25</v>
      </c>
    </row>
    <row r="76" spans="1:7" ht="14.4">
      <c r="A76" s="481">
        <v>4</v>
      </c>
      <c r="B76" s="3507"/>
      <c r="C76" s="457" t="s">
        <v>2014</v>
      </c>
      <c r="D76" s="457" t="s">
        <v>2015</v>
      </c>
      <c r="E76" s="481">
        <v>0.15</v>
      </c>
      <c r="F76" s="481">
        <v>20</v>
      </c>
    </row>
    <row r="77" spans="1:7" ht="24">
      <c r="A77" s="481">
        <v>5</v>
      </c>
      <c r="B77" s="3507"/>
      <c r="C77" s="457" t="s">
        <v>2016</v>
      </c>
      <c r="D77" s="457" t="s">
        <v>2017</v>
      </c>
      <c r="E77" s="481">
        <v>0.15</v>
      </c>
      <c r="F77" s="481">
        <v>20</v>
      </c>
    </row>
    <row r="78" spans="1:7" ht="24">
      <c r="A78" s="481">
        <v>6</v>
      </c>
      <c r="B78" s="3507"/>
      <c r="C78" s="457" t="s">
        <v>2018</v>
      </c>
      <c r="D78" s="457" t="s">
        <v>2019</v>
      </c>
      <c r="E78" s="481">
        <v>0.15</v>
      </c>
      <c r="F78" s="481">
        <v>20</v>
      </c>
    </row>
    <row r="79" spans="1:7" ht="24">
      <c r="A79" s="481">
        <v>7</v>
      </c>
      <c r="B79" s="3507"/>
      <c r="C79" s="457" t="s">
        <v>2020</v>
      </c>
      <c r="D79" s="457" t="s">
        <v>2021</v>
      </c>
      <c r="E79" s="481">
        <v>0.15</v>
      </c>
      <c r="F79" s="481">
        <v>20</v>
      </c>
    </row>
    <row r="80" spans="1:7" ht="24">
      <c r="A80" s="481">
        <v>8</v>
      </c>
      <c r="B80" s="3507"/>
      <c r="C80" s="457" t="s">
        <v>2022</v>
      </c>
      <c r="D80" s="457" t="s">
        <v>2023</v>
      </c>
      <c r="E80" s="481">
        <v>0.1</v>
      </c>
      <c r="F80" s="481">
        <v>15</v>
      </c>
    </row>
    <row r="81" spans="1:6" ht="24">
      <c r="A81" s="481">
        <v>9</v>
      </c>
      <c r="B81" s="3507"/>
      <c r="C81" s="457" t="s">
        <v>2024</v>
      </c>
      <c r="D81" s="457" t="s">
        <v>2025</v>
      </c>
      <c r="E81" s="481">
        <v>0.1</v>
      </c>
      <c r="F81" s="481">
        <v>15</v>
      </c>
    </row>
    <row r="82" spans="1:6" ht="24">
      <c r="A82" s="481">
        <v>10</v>
      </c>
      <c r="B82" s="3507"/>
      <c r="C82" s="457" t="s">
        <v>2026</v>
      </c>
      <c r="D82" s="457" t="s">
        <v>2027</v>
      </c>
      <c r="E82" s="481">
        <v>0.1</v>
      </c>
      <c r="F82" s="481">
        <v>15</v>
      </c>
    </row>
    <row r="83" spans="1:6" ht="24">
      <c r="A83" s="481">
        <v>11</v>
      </c>
      <c r="B83" s="3507"/>
      <c r="C83" s="457" t="s">
        <v>2028</v>
      </c>
      <c r="D83" s="457" t="s">
        <v>2029</v>
      </c>
      <c r="E83" s="481">
        <v>0.1</v>
      </c>
      <c r="F83" s="481">
        <v>15</v>
      </c>
    </row>
    <row r="84" spans="1:6" ht="24">
      <c r="A84" s="481">
        <v>12</v>
      </c>
      <c r="B84" s="3507"/>
      <c r="C84" s="457" t="s">
        <v>2030</v>
      </c>
      <c r="D84" s="457" t="s">
        <v>2031</v>
      </c>
      <c r="E84" s="481">
        <v>0.1</v>
      </c>
      <c r="F84" s="481">
        <v>15</v>
      </c>
    </row>
    <row r="85" spans="1:6" ht="24">
      <c r="A85" s="481">
        <v>13</v>
      </c>
      <c r="B85" s="3507"/>
      <c r="C85" s="457" t="s">
        <v>2032</v>
      </c>
      <c r="D85" s="457" t="s">
        <v>2033</v>
      </c>
      <c r="E85" s="481">
        <v>0.1</v>
      </c>
      <c r="F85" s="481">
        <v>15</v>
      </c>
    </row>
    <row r="86" spans="1:6" ht="24">
      <c r="A86" s="481">
        <v>14</v>
      </c>
      <c r="B86" s="3507"/>
      <c r="C86" s="457" t="s">
        <v>2034</v>
      </c>
      <c r="D86" s="457" t="s">
        <v>2035</v>
      </c>
      <c r="E86" s="481">
        <v>0.1</v>
      </c>
      <c r="F86" s="481">
        <v>15</v>
      </c>
    </row>
    <row r="87" spans="1:6" ht="24">
      <c r="A87" s="481">
        <v>15</v>
      </c>
      <c r="B87" s="3507"/>
      <c r="C87" s="457" t="s">
        <v>2036</v>
      </c>
      <c r="D87" s="457" t="s">
        <v>2037</v>
      </c>
      <c r="E87" s="481">
        <v>0.1</v>
      </c>
      <c r="F87" s="481">
        <v>15</v>
      </c>
    </row>
    <row r="88" spans="1:6" ht="24">
      <c r="A88" s="481">
        <v>16</v>
      </c>
      <c r="B88" s="3507"/>
      <c r="C88" s="457" t="s">
        <v>2038</v>
      </c>
      <c r="D88" s="457" t="s">
        <v>2039</v>
      </c>
      <c r="E88" s="481">
        <v>0.1</v>
      </c>
      <c r="F88" s="481">
        <v>15</v>
      </c>
    </row>
    <row r="89" spans="1:6" ht="24">
      <c r="A89" s="481">
        <v>17</v>
      </c>
      <c r="B89" s="3506"/>
      <c r="C89" s="457" t="s">
        <v>2040</v>
      </c>
      <c r="D89" s="457" t="s">
        <v>2041</v>
      </c>
      <c r="E89" s="481">
        <v>0.1</v>
      </c>
      <c r="F89" s="481">
        <v>15</v>
      </c>
    </row>
    <row r="90" spans="1:6" ht="14.4">
      <c r="A90" s="481">
        <v>18</v>
      </c>
      <c r="B90" s="3505" t="s">
        <v>2042</v>
      </c>
      <c r="C90" s="457" t="s">
        <v>2043</v>
      </c>
      <c r="D90" s="457" t="s">
        <v>2044</v>
      </c>
      <c r="E90" s="481">
        <v>0.2</v>
      </c>
      <c r="F90" s="481">
        <v>25</v>
      </c>
    </row>
    <row r="91" spans="1:6" ht="24">
      <c r="A91" s="481">
        <v>19</v>
      </c>
      <c r="B91" s="3507"/>
      <c r="C91" s="457" t="s">
        <v>2045</v>
      </c>
      <c r="D91" s="457" t="s">
        <v>2046</v>
      </c>
      <c r="E91" s="481">
        <v>0.2</v>
      </c>
      <c r="F91" s="481">
        <v>25</v>
      </c>
    </row>
    <row r="92" spans="1:6" ht="14.4">
      <c r="A92" s="481">
        <v>20</v>
      </c>
      <c r="B92" s="3507"/>
      <c r="C92" s="457" t="s">
        <v>2047</v>
      </c>
      <c r="D92" s="457" t="s">
        <v>2048</v>
      </c>
      <c r="E92" s="481">
        <v>0.15</v>
      </c>
      <c r="F92" s="481">
        <v>20</v>
      </c>
    </row>
    <row r="93" spans="1:6" ht="24">
      <c r="A93" s="481">
        <v>21</v>
      </c>
      <c r="B93" s="3507"/>
      <c r="C93" s="457" t="s">
        <v>2049</v>
      </c>
      <c r="D93" s="457" t="s">
        <v>2050</v>
      </c>
      <c r="E93" s="481">
        <v>0.15</v>
      </c>
      <c r="F93" s="481">
        <v>20</v>
      </c>
    </row>
    <row r="94" spans="1:6" ht="24">
      <c r="A94" s="481">
        <v>22</v>
      </c>
      <c r="B94" s="3507"/>
      <c r="C94" s="457" t="s">
        <v>2051</v>
      </c>
      <c r="D94" s="457" t="s">
        <v>2052</v>
      </c>
      <c r="E94" s="481">
        <v>0.15</v>
      </c>
      <c r="F94" s="481">
        <v>20</v>
      </c>
    </row>
    <row r="95" spans="1:6" ht="36">
      <c r="A95" s="481">
        <v>23</v>
      </c>
      <c r="B95" s="3507"/>
      <c r="C95" s="457" t="s">
        <v>2053</v>
      </c>
      <c r="D95" s="457" t="s">
        <v>2054</v>
      </c>
      <c r="E95" s="481">
        <v>0.15</v>
      </c>
      <c r="F95" s="481">
        <v>20</v>
      </c>
    </row>
    <row r="96" spans="1:6" ht="24">
      <c r="A96" s="481">
        <v>24</v>
      </c>
      <c r="B96" s="3507"/>
      <c r="C96" s="457" t="s">
        <v>2055</v>
      </c>
      <c r="D96" s="457" t="s">
        <v>2056</v>
      </c>
      <c r="E96" s="481">
        <v>0.1</v>
      </c>
      <c r="F96" s="481">
        <v>15</v>
      </c>
    </row>
    <row r="97" spans="1:6" ht="24">
      <c r="A97" s="481">
        <v>25</v>
      </c>
      <c r="B97" s="3507"/>
      <c r="C97" s="457" t="s">
        <v>2057</v>
      </c>
      <c r="D97" s="457" t="s">
        <v>2058</v>
      </c>
      <c r="E97" s="481">
        <v>0.1</v>
      </c>
      <c r="F97" s="481">
        <v>15</v>
      </c>
    </row>
    <row r="98" spans="1:6" ht="24">
      <c r="A98" s="481">
        <v>26</v>
      </c>
      <c r="B98" s="3507"/>
      <c r="C98" s="457" t="s">
        <v>2059</v>
      </c>
      <c r="D98" s="457" t="s">
        <v>2060</v>
      </c>
      <c r="E98" s="481">
        <v>0.1</v>
      </c>
      <c r="F98" s="481">
        <v>15</v>
      </c>
    </row>
    <row r="99" spans="1:6" ht="24">
      <c r="A99" s="481">
        <v>27</v>
      </c>
      <c r="B99" s="3507"/>
      <c r="C99" s="457" t="s">
        <v>2061</v>
      </c>
      <c r="D99" s="457" t="s">
        <v>2062</v>
      </c>
      <c r="E99" s="481">
        <v>0.1</v>
      </c>
      <c r="F99" s="481">
        <v>15</v>
      </c>
    </row>
    <row r="100" spans="1:6" ht="24">
      <c r="A100" s="481">
        <v>28</v>
      </c>
      <c r="B100" s="3507"/>
      <c r="C100" s="457" t="s">
        <v>2063</v>
      </c>
      <c r="D100" s="457" t="s">
        <v>2064</v>
      </c>
      <c r="E100" s="481">
        <v>0.1</v>
      </c>
      <c r="F100" s="481">
        <v>15</v>
      </c>
    </row>
    <row r="101" spans="1:6" ht="24">
      <c r="A101" s="481">
        <v>29</v>
      </c>
      <c r="B101" s="3507"/>
      <c r="C101" s="457" t="s">
        <v>2065</v>
      </c>
      <c r="D101" s="457" t="s">
        <v>2066</v>
      </c>
      <c r="E101" s="481">
        <v>0.1</v>
      </c>
      <c r="F101" s="481">
        <v>15</v>
      </c>
    </row>
    <row r="102" spans="1:6" ht="24">
      <c r="A102" s="481">
        <v>30</v>
      </c>
      <c r="B102" s="3507"/>
      <c r="C102" s="457" t="s">
        <v>2067</v>
      </c>
      <c r="D102" s="457" t="s">
        <v>2068</v>
      </c>
      <c r="E102" s="481">
        <v>0.1</v>
      </c>
      <c r="F102" s="481">
        <v>15</v>
      </c>
    </row>
    <row r="103" spans="1:6" ht="24">
      <c r="A103" s="481">
        <v>31</v>
      </c>
      <c r="B103" s="3507"/>
      <c r="C103" s="457" t="s">
        <v>2069</v>
      </c>
      <c r="D103" s="457" t="s">
        <v>2070</v>
      </c>
      <c r="E103" s="481">
        <v>0.1</v>
      </c>
      <c r="F103" s="481">
        <v>15</v>
      </c>
    </row>
    <row r="104" spans="1:6" ht="24">
      <c r="A104" s="481">
        <v>32</v>
      </c>
      <c r="B104" s="3507"/>
      <c r="C104" s="457" t="s">
        <v>2071</v>
      </c>
      <c r="D104" s="457" t="s">
        <v>2072</v>
      </c>
      <c r="E104" s="481">
        <v>0.1</v>
      </c>
      <c r="F104" s="481">
        <v>15</v>
      </c>
    </row>
    <row r="105" spans="1:6" ht="24">
      <c r="A105" s="481">
        <v>33</v>
      </c>
      <c r="B105" s="3507"/>
      <c r="C105" s="457" t="s">
        <v>2073</v>
      </c>
      <c r="D105" s="457" t="s">
        <v>2074</v>
      </c>
      <c r="E105" s="481">
        <v>0.1</v>
      </c>
      <c r="F105" s="481">
        <v>15</v>
      </c>
    </row>
    <row r="106" spans="1:6" ht="24">
      <c r="A106" s="481">
        <v>34</v>
      </c>
      <c r="B106" s="3506"/>
      <c r="C106" s="457" t="s">
        <v>2075</v>
      </c>
      <c r="D106" s="457" t="s">
        <v>2076</v>
      </c>
      <c r="E106" s="481">
        <v>0.1</v>
      </c>
      <c r="F106" s="481">
        <v>15</v>
      </c>
    </row>
    <row r="107" spans="1:6" ht="36">
      <c r="A107" s="481">
        <v>35</v>
      </c>
      <c r="B107" s="3505" t="s">
        <v>2077</v>
      </c>
      <c r="C107" s="481" t="s">
        <v>2078</v>
      </c>
      <c r="D107" s="457" t="s">
        <v>2079</v>
      </c>
      <c r="E107" s="481">
        <v>0.15</v>
      </c>
      <c r="F107" s="481">
        <v>20</v>
      </c>
    </row>
    <row r="108" spans="1:6" ht="24">
      <c r="A108" s="481">
        <v>36</v>
      </c>
      <c r="B108" s="3507"/>
      <c r="C108" s="481" t="s">
        <v>2080</v>
      </c>
      <c r="D108" s="457" t="s">
        <v>2081</v>
      </c>
      <c r="E108" s="481">
        <v>0.15</v>
      </c>
      <c r="F108" s="481">
        <v>20</v>
      </c>
    </row>
    <row r="109" spans="1:6" ht="24">
      <c r="A109" s="481">
        <v>37</v>
      </c>
      <c r="B109" s="3507"/>
      <c r="C109" s="481" t="s">
        <v>2082</v>
      </c>
      <c r="D109" s="457" t="s">
        <v>2083</v>
      </c>
      <c r="E109" s="481">
        <v>0.15</v>
      </c>
      <c r="F109" s="481">
        <v>20</v>
      </c>
    </row>
    <row r="110" spans="1:6" ht="24">
      <c r="A110" s="481">
        <v>38</v>
      </c>
      <c r="B110" s="3507"/>
      <c r="C110" s="481" t="s">
        <v>2084</v>
      </c>
      <c r="D110" s="457" t="s">
        <v>2085</v>
      </c>
      <c r="E110" s="481">
        <v>0.1</v>
      </c>
      <c r="F110" s="481">
        <v>15</v>
      </c>
    </row>
    <row r="111" spans="1:6" ht="24">
      <c r="A111" s="481">
        <v>39</v>
      </c>
      <c r="B111" s="3507"/>
      <c r="C111" s="481" t="s">
        <v>2086</v>
      </c>
      <c r="D111" s="457" t="s">
        <v>2087</v>
      </c>
      <c r="E111" s="481">
        <v>0.1</v>
      </c>
      <c r="F111" s="481">
        <v>15</v>
      </c>
    </row>
    <row r="112" spans="1:6" ht="24">
      <c r="A112" s="481">
        <v>40</v>
      </c>
      <c r="B112" s="3506"/>
      <c r="C112" s="481" t="s">
        <v>2088</v>
      </c>
      <c r="D112" s="457" t="s">
        <v>2089</v>
      </c>
      <c r="E112" s="481">
        <v>0.1</v>
      </c>
      <c r="F112" s="481">
        <v>15</v>
      </c>
    </row>
    <row r="113" spans="1:6" ht="24">
      <c r="A113" s="481">
        <v>41</v>
      </c>
      <c r="B113" s="3504" t="s">
        <v>2090</v>
      </c>
      <c r="C113" s="481" t="s">
        <v>2091</v>
      </c>
      <c r="D113" s="457" t="s">
        <v>2092</v>
      </c>
      <c r="E113" s="481">
        <v>0.1</v>
      </c>
      <c r="F113" s="481">
        <v>15</v>
      </c>
    </row>
    <row r="114" spans="1:6" ht="24">
      <c r="A114" s="481">
        <v>42</v>
      </c>
      <c r="B114" s="3504"/>
      <c r="C114" s="481" t="s">
        <v>2093</v>
      </c>
      <c r="D114" s="457" t="s">
        <v>2094</v>
      </c>
      <c r="E114" s="481">
        <v>0.1</v>
      </c>
      <c r="F114" s="481">
        <v>15</v>
      </c>
    </row>
    <row r="115" spans="1:6" ht="24">
      <c r="A115" s="481">
        <v>43</v>
      </c>
      <c r="B115" s="3504"/>
      <c r="C115" s="481" t="s">
        <v>2095</v>
      </c>
      <c r="D115" s="457" t="s">
        <v>2096</v>
      </c>
      <c r="E115" s="481">
        <v>0.1</v>
      </c>
      <c r="F115" s="481">
        <v>15</v>
      </c>
    </row>
    <row r="116" spans="1:6" ht="24">
      <c r="A116" s="481">
        <v>44</v>
      </c>
      <c r="B116" s="3505" t="s">
        <v>2097</v>
      </c>
      <c r="C116" s="481" t="s">
        <v>2098</v>
      </c>
      <c r="D116" s="457" t="s">
        <v>2099</v>
      </c>
      <c r="E116" s="481">
        <v>0.1</v>
      </c>
      <c r="F116" s="481">
        <v>15</v>
      </c>
    </row>
    <row r="117" spans="1:6" ht="24">
      <c r="A117" s="481">
        <v>45</v>
      </c>
      <c r="B117" s="3506"/>
      <c r="C117" s="457" t="s">
        <v>2100</v>
      </c>
      <c r="D117" s="457" t="s">
        <v>2101</v>
      </c>
      <c r="E117" s="481">
        <v>0.1</v>
      </c>
      <c r="F117" s="481">
        <v>15</v>
      </c>
    </row>
    <row r="118" spans="1:6" ht="24">
      <c r="A118" s="481">
        <v>46</v>
      </c>
      <c r="B118" s="3505" t="s">
        <v>2102</v>
      </c>
      <c r="C118" s="481" t="s">
        <v>2103</v>
      </c>
      <c r="D118" s="457" t="s">
        <v>2104</v>
      </c>
      <c r="E118" s="481">
        <v>0.1</v>
      </c>
      <c r="F118" s="481">
        <v>15</v>
      </c>
    </row>
    <row r="119" spans="1:6" ht="24">
      <c r="A119" s="481">
        <v>47</v>
      </c>
      <c r="B119" s="3506"/>
      <c r="C119" s="481" t="s">
        <v>2105</v>
      </c>
      <c r="D119" s="457" t="s">
        <v>2106</v>
      </c>
      <c r="E119" s="481">
        <v>0.1</v>
      </c>
      <c r="F119" s="481">
        <v>15</v>
      </c>
    </row>
    <row r="120" spans="1:6" ht="24">
      <c r="A120" s="481">
        <v>48</v>
      </c>
      <c r="B120" s="3505" t="s">
        <v>2107</v>
      </c>
      <c r="C120" s="481" t="s">
        <v>2108</v>
      </c>
      <c r="D120" s="457" t="s">
        <v>2109</v>
      </c>
      <c r="E120" s="481">
        <v>0.1</v>
      </c>
      <c r="F120" s="481">
        <v>15</v>
      </c>
    </row>
    <row r="121" spans="1:6" ht="24">
      <c r="A121" s="481">
        <v>49</v>
      </c>
      <c r="B121" s="3506"/>
      <c r="C121" s="481" t="s">
        <v>2110</v>
      </c>
      <c r="D121" s="457" t="s">
        <v>2111</v>
      </c>
      <c r="E121" s="481">
        <v>0.1</v>
      </c>
      <c r="F121" s="481">
        <v>15</v>
      </c>
    </row>
    <row r="122" spans="1:6" ht="24">
      <c r="A122" s="481">
        <v>50</v>
      </c>
      <c r="B122" s="3504" t="s">
        <v>2112</v>
      </c>
      <c r="C122" s="481" t="s">
        <v>2113</v>
      </c>
      <c r="D122" s="457" t="s">
        <v>2114</v>
      </c>
      <c r="E122" s="481">
        <v>0.1</v>
      </c>
      <c r="F122" s="481">
        <v>15</v>
      </c>
    </row>
    <row r="123" spans="1:6" ht="24">
      <c r="A123" s="481">
        <v>51</v>
      </c>
      <c r="B123" s="3504"/>
      <c r="C123" s="481" t="s">
        <v>2115</v>
      </c>
      <c r="D123" s="457" t="s">
        <v>2116</v>
      </c>
      <c r="E123" s="481">
        <v>0.1</v>
      </c>
      <c r="F123" s="481">
        <v>15</v>
      </c>
    </row>
    <row r="124" spans="1:6" ht="24">
      <c r="A124" s="481">
        <v>52</v>
      </c>
      <c r="B124" s="3504" t="s">
        <v>2117</v>
      </c>
      <c r="C124" s="481" t="s">
        <v>2118</v>
      </c>
      <c r="D124" s="457" t="s">
        <v>2119</v>
      </c>
      <c r="E124" s="481">
        <v>0.1</v>
      </c>
      <c r="F124" s="481">
        <v>15</v>
      </c>
    </row>
    <row r="125" spans="1:6" ht="24">
      <c r="A125" s="481">
        <v>53</v>
      </c>
      <c r="B125" s="3504"/>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04" t="s">
        <v>2125</v>
      </c>
      <c r="C127" s="481" t="s">
        <v>2126</v>
      </c>
      <c r="D127" s="457" t="s">
        <v>2127</v>
      </c>
      <c r="E127" s="481">
        <v>0.1</v>
      </c>
      <c r="F127" s="481">
        <v>15</v>
      </c>
    </row>
    <row r="128" spans="1:6" ht="24">
      <c r="A128" s="481">
        <v>56</v>
      </c>
      <c r="B128" s="3504"/>
      <c r="C128" s="481" t="s">
        <v>2128</v>
      </c>
      <c r="D128" s="457" t="s">
        <v>2129</v>
      </c>
      <c r="E128" s="481">
        <v>0.1</v>
      </c>
      <c r="F128" s="481">
        <v>15</v>
      </c>
    </row>
    <row r="129" spans="1:6" ht="24">
      <c r="A129" s="481">
        <v>57</v>
      </c>
      <c r="B129" s="3504"/>
      <c r="C129" s="481" t="s">
        <v>2130</v>
      </c>
      <c r="D129" s="457" t="s">
        <v>2131</v>
      </c>
      <c r="E129" s="481">
        <v>0.1</v>
      </c>
      <c r="F129" s="481">
        <v>15</v>
      </c>
    </row>
    <row r="130" spans="1:6" ht="24">
      <c r="A130" s="481">
        <v>58</v>
      </c>
      <c r="B130" s="3504" t="s">
        <v>2132</v>
      </c>
      <c r="C130" s="481" t="s">
        <v>2133</v>
      </c>
      <c r="D130" s="457" t="s">
        <v>2134</v>
      </c>
      <c r="E130" s="481">
        <v>0.1</v>
      </c>
      <c r="F130" s="481">
        <v>15</v>
      </c>
    </row>
    <row r="131" spans="1:6" ht="24">
      <c r="A131" s="481">
        <v>59</v>
      </c>
      <c r="B131" s="3504"/>
      <c r="C131" s="481" t="s">
        <v>2135</v>
      </c>
      <c r="D131" s="457" t="s">
        <v>2136</v>
      </c>
      <c r="E131" s="481">
        <v>0.1</v>
      </c>
      <c r="F131" s="481">
        <v>15</v>
      </c>
    </row>
    <row r="132" spans="1:6" ht="24">
      <c r="A132" s="481">
        <v>60</v>
      </c>
      <c r="B132" s="3505" t="s">
        <v>2137</v>
      </c>
      <c r="C132" s="481" t="s">
        <v>2138</v>
      </c>
      <c r="D132" s="457" t="s">
        <v>2139</v>
      </c>
      <c r="E132" s="481">
        <v>0.1</v>
      </c>
      <c r="F132" s="481">
        <v>15</v>
      </c>
    </row>
    <row r="133" spans="1:6" ht="24">
      <c r="A133" s="481">
        <v>61</v>
      </c>
      <c r="B133" s="3506"/>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04" t="s">
        <v>2145</v>
      </c>
      <c r="C135" s="481" t="s">
        <v>2146</v>
      </c>
      <c r="D135" s="457" t="s">
        <v>2147</v>
      </c>
      <c r="E135" s="481">
        <v>0.1</v>
      </c>
      <c r="F135" s="481">
        <v>15</v>
      </c>
    </row>
    <row r="136" spans="1:6" ht="24">
      <c r="A136" s="481">
        <v>64</v>
      </c>
      <c r="B136" s="3504"/>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79" t="s">
        <v>2226</v>
      </c>
    </row>
    <row r="43" spans="1:7" ht="13.5" customHeight="1">
      <c r="A43" s="386" t="s">
        <v>1008</v>
      </c>
      <c r="B43" s="359" t="s">
        <v>2198</v>
      </c>
      <c r="C43" s="388">
        <f ca="1">ROUND(IF('数据-取费表'!B22&lt;=1,C39*F22*'数据-取费表'!B21/2,C39*(POWER((1+F22),'数据-取费表'!B21/2)-1)),0)</f>
        <v>0</v>
      </c>
      <c r="D43" s="388"/>
      <c r="E43" s="388"/>
      <c r="F43" s="389"/>
      <c r="G43" s="3380"/>
    </row>
    <row r="44" spans="1:7" ht="13.5" customHeight="1">
      <c r="A44" s="386" t="s">
        <v>1010</v>
      </c>
      <c r="B44" s="359" t="s">
        <v>2200</v>
      </c>
      <c r="C44" s="388">
        <f ca="1">ROUND(IF('数据-取费表'!B22&lt;=1,C40*F22*'数据-取费表'!B21/2,C40*(POWER((1+F22),'数据-取费表'!B21/2)-1)),4)</f>
        <v>5.9999999999999995E-4</v>
      </c>
      <c r="D44" s="388"/>
      <c r="E44" s="388"/>
      <c r="F44" s="389"/>
      <c r="G44" s="3381"/>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v>
      </c>
      <c r="B3" s="3204"/>
      <c r="C3" s="3204"/>
      <c r="D3" s="3204"/>
      <c r="E3" s="3204"/>
    </row>
    <row r="4" spans="1:5" ht="17.399999999999999">
      <c r="A4" s="3128"/>
      <c r="B4" s="3205" t="s">
        <v>95</v>
      </c>
      <c r="C4" s="3205"/>
      <c r="D4" s="3205"/>
      <c r="E4" s="3128"/>
    </row>
    <row r="5" spans="1:5" ht="15.6">
      <c r="B5" s="3197" t="s">
        <v>96</v>
      </c>
      <c r="C5" s="3129" t="s">
        <v>97</v>
      </c>
      <c r="D5" s="3130">
        <f ca="1">结果表110!H101</f>
        <v>1095</v>
      </c>
    </row>
    <row r="6" spans="1:5" ht="15.6">
      <c r="B6" s="3197"/>
      <c r="C6" s="3129" t="s">
        <v>98</v>
      </c>
      <c r="D6" s="3130" t="str">
        <f ca="1">NUMBERSTRING(INT(D5*10000),2)&amp;"元整"</f>
        <v>壹仟零玖拾伍万元整</v>
      </c>
    </row>
    <row r="7" spans="1:5" ht="15.6">
      <c r="B7" s="3198"/>
      <c r="C7" s="3131" t="s">
        <v>99</v>
      </c>
      <c r="D7" s="3132">
        <f ca="1">结果表110!H102</f>
        <v>30818</v>
      </c>
    </row>
    <row r="8" spans="1:5" ht="15.6">
      <c r="B8" s="3199" t="str">
        <f>结果表110!E103</f>
        <v>2.估价师知悉的法定优先受偿款</v>
      </c>
      <c r="C8" s="3133" t="s">
        <v>100</v>
      </c>
      <c r="D8" s="3132">
        <f>结果表110!H103</f>
        <v>0</v>
      </c>
    </row>
    <row r="9" spans="1:5" ht="15.6">
      <c r="B9" s="3201"/>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6" t="str">
        <f>结果表110!E107</f>
        <v>3.房地产抵押价值</v>
      </c>
      <c r="C13" s="3137" t="s">
        <v>97</v>
      </c>
      <c r="D13" s="3138">
        <f ca="1">结果表110!H107</f>
        <v>1095</v>
      </c>
    </row>
    <row r="14" spans="1:5" ht="15.6">
      <c r="B14" s="3197"/>
      <c r="C14" s="3129" t="s">
        <v>98</v>
      </c>
      <c r="D14" s="3130" t="str">
        <f ca="1">NUMBERSTRING(INT(D13*10000),2)&amp;"元整"</f>
        <v>壹仟零玖拾伍万元整</v>
      </c>
    </row>
    <row r="15" spans="1:5" ht="15.6">
      <c r="B15" s="3198"/>
      <c r="C15" s="3131" t="s">
        <v>99</v>
      </c>
      <c r="D15" s="3139">
        <f ca="1">结果表110!H108</f>
        <v>30818</v>
      </c>
    </row>
    <row r="16" spans="1:5" ht="15.6">
      <c r="B16" s="3199" t="str">
        <f>结果表110!E109</f>
        <v>——</v>
      </c>
      <c r="C16" s="3137" t="s">
        <v>97</v>
      </c>
      <c r="D16" s="3140" t="str">
        <f>结果表110!H109</f>
        <v>——</v>
      </c>
    </row>
    <row r="17" spans="1:5" ht="15.6">
      <c r="B17" s="3200"/>
      <c r="C17" s="3129" t="s">
        <v>98</v>
      </c>
      <c r="D17" s="3130" t="e">
        <f>NUMBERSTRING(INT(D16*10000),2)&amp;"元整"</f>
        <v>#VALUE!</v>
      </c>
    </row>
    <row r="18" spans="1:5" ht="15.6">
      <c r="B18" s="3201"/>
      <c r="C18" s="3131" t="s">
        <v>99</v>
      </c>
      <c r="D18" s="3139" t="str">
        <f>结果表110!H110</f>
        <v>——</v>
      </c>
    </row>
    <row r="19" spans="1:5" ht="15.6">
      <c r="B19" s="3196" t="str">
        <f>结果表110!E111</f>
        <v>——</v>
      </c>
      <c r="C19" s="3137" t="s">
        <v>97</v>
      </c>
      <c r="D19" s="3132" t="str">
        <f>结果表110!H111</f>
        <v>——</v>
      </c>
    </row>
    <row r="20" spans="1:5" ht="15.6">
      <c r="B20" s="3197"/>
      <c r="C20" s="3129" t="s">
        <v>98</v>
      </c>
      <c r="D20" s="3130" t="e">
        <f>NUMBERSTRING(INT(D19*10000),2)&amp;"元整"</f>
        <v>#VALUE!</v>
      </c>
    </row>
    <row r="21" spans="1:5" ht="15.6">
      <c r="B21" s="3202"/>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6" t="s">
        <v>2244</v>
      </c>
      <c r="B1" s="3516"/>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17" t="s">
        <v>2626</v>
      </c>
      <c r="B1" s="3517"/>
      <c r="C1" s="3517"/>
      <c r="D1" s="3517"/>
      <c r="E1" s="3517"/>
      <c r="F1" s="3518"/>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I13" sqref="I1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2855</v>
      </c>
      <c r="D4" s="2121" t="s">
        <v>2858</v>
      </c>
      <c r="E4" s="3364" t="s">
        <v>783</v>
      </c>
      <c r="F4" s="3365"/>
      <c r="G4" s="3365"/>
      <c r="H4" s="3365"/>
      <c r="I4" s="3366"/>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1227.7035000000001</v>
      </c>
      <c r="D19" s="1245">
        <f ca="1">SUMIF(INDIRECT("'"&amp;D4&amp;"'"&amp;"!A:A"),结果表111!B19,INDIRECT("'"&amp;D4&amp;"'"&amp;"!B:B"))</f>
        <v>986.96270000000004</v>
      </c>
      <c r="E19" s="1129" t="s">
        <v>808</v>
      </c>
      <c r="F19" s="2132" t="s">
        <v>807</v>
      </c>
      <c r="G19" s="2134">
        <f ca="1">ROUND(C19*$C$18+D19*$D$18,0)</f>
        <v>1155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32744</v>
      </c>
      <c r="D20" s="1602">
        <f ca="1">SUMIF(INDIRECT("'"&amp;D4&amp;"'"&amp;"!A:A"),结果表111!B20,INDIRECT("'"&amp;D4&amp;"'"&amp;"!B:B"))</f>
        <v>26323</v>
      </c>
      <c r="E20" s="2136"/>
      <c r="F20" s="2137" t="s">
        <v>810</v>
      </c>
      <c r="G20" s="2138">
        <f ca="1">ROUND(C20*$C$18+D20*$D$18,0)</f>
        <v>30818</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0.24392086955261827</v>
      </c>
      <c r="E22" s="1458"/>
      <c r="F22" s="1458"/>
      <c r="G22" s="1458"/>
      <c r="H22" s="1458"/>
      <c r="I22" s="1458"/>
    </row>
    <row r="23" spans="1:36" ht="13.8" thickBot="1">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30818</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23822</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 thickBot="1">
      <c r="A35" s="2172"/>
      <c r="B35" s="2173" t="s">
        <v>828</v>
      </c>
      <c r="C35" s="2174">
        <f ca="1">IF(C33="自定义",F35,ROUND(C32*D35,0))</f>
        <v>6996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 thickBot="1">
      <c r="A36" s="3289" t="s">
        <v>830</v>
      </c>
      <c r="B36" s="2178" t="s">
        <v>831</v>
      </c>
      <c r="C36" s="2179"/>
      <c r="D36" s="2180"/>
      <c r="E36" s="2181"/>
      <c r="F36" s="2182"/>
      <c r="G36" s="1458"/>
      <c r="H36" s="1458"/>
      <c r="I36" s="1458"/>
    </row>
    <row r="37" spans="1:15" ht="15" thickBot="1">
      <c r="A37" s="3290"/>
      <c r="B37" s="2183" t="s">
        <v>832</v>
      </c>
      <c r="C37" s="2184"/>
      <c r="D37" s="2185"/>
      <c r="E37" s="2185"/>
      <c r="F37" s="2182"/>
      <c r="G37" s="1458"/>
      <c r="H37" s="1458"/>
      <c r="I37" s="1458"/>
    </row>
    <row r="38" spans="1:15" ht="15" thickBot="1">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69" t="s">
        <v>841</v>
      </c>
      <c r="B45" s="3370"/>
      <c r="C45" s="3371"/>
      <c r="D45" s="2204">
        <f ca="1">ROUND(H101*F45,4)</f>
        <v>1155</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60.5</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1155</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1155</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61</v>
      </c>
      <c r="E52" s="1908" t="s">
        <v>873</v>
      </c>
      <c r="F52" s="2226">
        <f>'数据-取费表'!B41</f>
        <v>5.5000000000000007E-2</v>
      </c>
      <c r="G52" s="2227"/>
      <c r="H52" s="2019"/>
      <c r="I52" s="2256"/>
      <c r="J52" s="576">
        <v>1</v>
      </c>
      <c r="K52" s="3344" t="s">
        <v>874</v>
      </c>
      <c r="L52" s="3344"/>
      <c r="M52" s="2257">
        <f ca="1">D48</f>
        <v>60.5</v>
      </c>
      <c r="N52" s="576" t="str">
        <f>E48</f>
        <v>(销售额-原购置价)×税（费）率</v>
      </c>
      <c r="O52" s="2258">
        <f>F48</f>
        <v>5.5000000000000007E-2</v>
      </c>
    </row>
    <row r="53" spans="1:35" ht="12" customHeight="1">
      <c r="A53" s="2225" t="s">
        <v>875</v>
      </c>
      <c r="B53" s="3323" t="s">
        <v>876</v>
      </c>
      <c r="C53" s="3340"/>
      <c r="D53" s="1904">
        <f ca="1">ROUND(D45*'数据-取费表'!B41/(1+'数据-取费表'!C42),0)</f>
        <v>61</v>
      </c>
      <c r="E53" s="1908" t="s">
        <v>873</v>
      </c>
      <c r="F53" s="2226">
        <f>'数据-取费表'!B41</f>
        <v>5.5000000000000007E-2</v>
      </c>
      <c r="G53" s="2227"/>
      <c r="H53" s="2019"/>
      <c r="I53" s="2256"/>
      <c r="J53" s="576">
        <v>2</v>
      </c>
      <c r="K53" s="3344" t="s">
        <v>877</v>
      </c>
      <c r="L53" s="3344"/>
      <c r="M53" s="2257">
        <f t="shared" ref="M53:O54" ca="1" si="0">D55</f>
        <v>0.57750000000000001</v>
      </c>
      <c r="N53" s="576" t="str">
        <f t="shared" si="0"/>
        <v>销售额×税（费）率</v>
      </c>
      <c r="O53" s="2258">
        <f t="shared" si="0"/>
        <v>5.0000000000000001E-4</v>
      </c>
    </row>
    <row r="54" spans="1:35" ht="12" customHeight="1">
      <c r="A54" s="2225" t="s">
        <v>878</v>
      </c>
      <c r="B54" s="3323" t="s">
        <v>879</v>
      </c>
      <c r="C54" s="3340"/>
      <c r="D54" s="1904">
        <f ca="1">C68</f>
        <v>60.5</v>
      </c>
      <c r="E54" s="1918" t="s">
        <v>880</v>
      </c>
      <c r="F54" s="2226">
        <f>'数据-取费表'!B41</f>
        <v>5.5000000000000007E-2</v>
      </c>
      <c r="G54" s="2227"/>
      <c r="H54" s="2228"/>
      <c r="I54" s="2256"/>
      <c r="J54" s="576">
        <v>3</v>
      </c>
      <c r="K54" s="3344" t="s">
        <v>881</v>
      </c>
      <c r="L54" s="3344"/>
      <c r="M54" s="2257">
        <f t="shared" ca="1" si="0"/>
        <v>654.77499999999998</v>
      </c>
      <c r="N54" s="576" t="str">
        <f t="shared" si="0"/>
        <v>增值额×税（费）率</v>
      </c>
      <c r="O54" s="2259" t="str">
        <f t="shared" si="0"/>
        <v>——</v>
      </c>
    </row>
    <row r="55" spans="1:35" ht="24" customHeight="1">
      <c r="A55" s="3349" t="s">
        <v>882</v>
      </c>
      <c r="B55" s="3350"/>
      <c r="C55" s="3350"/>
      <c r="D55" s="2229">
        <f ca="1">IF(H55="个人住宅",0,ROUND(D45*I55,4))</f>
        <v>0.57750000000000001</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11.55</v>
      </c>
      <c r="N55" s="557" t="str">
        <f>E59</f>
        <v>销售额×税（费）率</v>
      </c>
      <c r="O55" s="2262">
        <f>F59</f>
        <v>0.01</v>
      </c>
    </row>
    <row r="56" spans="1:35" ht="25.2">
      <c r="A56" s="3349" t="s">
        <v>885</v>
      </c>
      <c r="B56" s="3350"/>
      <c r="C56" s="3350"/>
      <c r="D56" s="2005">
        <f ca="1">IF(H56="个人住宅",D57,D58)</f>
        <v>654.77499999999998</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IF(AND(J55="",J56=""),4,IF(项目基本情况!K6="上海银行",结果表111!J56+1,结果表111!J55+1))</f>
        <v>5</v>
      </c>
      <c r="K57" s="3344" t="s">
        <v>889</v>
      </c>
      <c r="L57" s="2264" t="s">
        <v>890</v>
      </c>
      <c r="M57" s="2265"/>
      <c r="N57" s="2266">
        <f ca="1">SUMIF(M52:M56,"&lt;9e307")</f>
        <v>727.40249999999992</v>
      </c>
      <c r="O57" s="2267"/>
      <c r="P57" s="2268">
        <f ca="1">N57/M49</f>
        <v>0.62978571428571417</v>
      </c>
    </row>
    <row r="58" spans="1:35" ht="25.2">
      <c r="A58" s="2225" t="s">
        <v>871</v>
      </c>
      <c r="B58" s="3323" t="s">
        <v>891</v>
      </c>
      <c r="C58" s="3324"/>
      <c r="D58" s="2005">
        <f ca="1">IF(H58="转让取得",C81,C97)</f>
        <v>654.77499999999998</v>
      </c>
      <c r="E58" s="1908" t="s">
        <v>886</v>
      </c>
      <c r="F58" s="1855" t="s">
        <v>124</v>
      </c>
      <c r="G58" s="2227"/>
      <c r="H58" s="2231" t="s">
        <v>892</v>
      </c>
      <c r="I58" s="2239"/>
      <c r="J58" s="3344"/>
      <c r="K58" s="3344"/>
      <c r="L58" s="2264" t="s">
        <v>893</v>
      </c>
      <c r="M58" s="2269"/>
      <c r="N58" s="2270" t="str">
        <f ca="1">NUMBERSTRING(INT(N57*10000),2)&amp;"元整"</f>
        <v>柒佰贰拾柒万肆仟零贰拾伍元整</v>
      </c>
      <c r="O58" s="2271"/>
    </row>
    <row r="59" spans="1:35" ht="27" thickBot="1">
      <c r="A59" s="3341" t="s">
        <v>894</v>
      </c>
      <c r="B59" s="3342"/>
      <c r="C59" s="3342"/>
      <c r="D59" s="3177">
        <f ca="1">IF(H59="非个人房产","——",IF(H59="个人住宅（满五唯一有凭证）",0,IF(H59="个人其他（无凭证）",ROUND(D45*F59,4),ROUND(C67*F59,4))))</f>
        <v>11.55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427.59750000000008</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肆佰贰拾柒万伍仟玖佰柒拾伍元整</v>
      </c>
      <c r="O60" s="2271"/>
    </row>
    <row r="61" spans="1:35" ht="13.8" thickBot="1">
      <c r="A61" s="3343" t="s">
        <v>897</v>
      </c>
      <c r="B61" s="3343"/>
      <c r="C61" s="3343"/>
      <c r="D61" s="3343"/>
      <c r="E61" s="3343"/>
      <c r="F61" s="2239"/>
      <c r="G61" s="2239"/>
      <c r="H61" s="1459"/>
      <c r="I61" s="1458"/>
      <c r="J61" s="576">
        <f>J59+1</f>
        <v>7</v>
      </c>
      <c r="K61" s="3344" t="s">
        <v>898</v>
      </c>
      <c r="L61" s="3344"/>
      <c r="M61" s="2276"/>
      <c r="N61" s="2488">
        <f ca="1">ROUND(N59*10000/'数据-汇总表'!E3,0)</f>
        <v>4828</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1100</v>
      </c>
      <c r="D63" s="586"/>
      <c r="E63" s="2243"/>
      <c r="F63" s="2239"/>
      <c r="G63" s="2239"/>
      <c r="H63" s="1459"/>
      <c r="I63" s="1458"/>
      <c r="J63" s="3347" t="s">
        <v>903</v>
      </c>
      <c r="K63" s="2278" t="s">
        <v>904</v>
      </c>
      <c r="L63" s="2278">
        <f ca="1">IF(M49&gt;10000,M49*0.5%,IF(AND(M49&gt;1000,M49&lt;=10000),M49*1%,IF(AND(M49&gt;100,M49&lt;=1000),M49*3%,IF(AND(M49&gt;10,M49&lt;=100),M49*5%,M49*8%))))</f>
        <v>11.55</v>
      </c>
      <c r="M63" s="1855">
        <f ca="1">ROUND(L63,1)</f>
        <v>11.6</v>
      </c>
      <c r="N63" s="2279"/>
      <c r="Z63" s="2113"/>
      <c r="AI63" s="2114"/>
    </row>
    <row r="64" spans="1:35" ht="14.25" customHeight="1">
      <c r="A64" s="2244" t="s">
        <v>905</v>
      </c>
      <c r="B64" s="509" t="s">
        <v>906</v>
      </c>
      <c r="C64" s="2245">
        <f ca="1">D45</f>
        <v>1155</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6.93</v>
      </c>
      <c r="M64" s="1855">
        <f t="shared" ref="M64:M65" ca="1" si="1">ROUND(L64,1)</f>
        <v>6.9</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1.155</v>
      </c>
      <c r="M65" s="1855">
        <f t="shared" ca="1" si="1"/>
        <v>1.2</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5.7750000000000004</v>
      </c>
      <c r="M66" s="1855">
        <f ca="1">IF(L66&gt;0.5,0.5,ROUND(L66,0))</f>
        <v>0.5</v>
      </c>
      <c r="N66" s="2019" t="s">
        <v>916</v>
      </c>
      <c r="Z66" s="2113"/>
      <c r="AI66" s="2114"/>
    </row>
    <row r="67" spans="1:35" ht="14.25" customHeight="1">
      <c r="A67" s="2241" t="s">
        <v>917</v>
      </c>
      <c r="B67" s="2282" t="s">
        <v>918</v>
      </c>
      <c r="C67" s="2285">
        <f ca="1">C63-C66</f>
        <v>1100</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2.9824999999999999</v>
      </c>
      <c r="M67" s="1855">
        <f ca="1">ROUND(L67*0.9,1)</f>
        <v>2.7</v>
      </c>
      <c r="N67" s="2279"/>
      <c r="Z67" s="2113"/>
      <c r="AI67" s="2114"/>
    </row>
    <row r="68" spans="1:35" ht="14.25" customHeight="1" thickBot="1">
      <c r="A68" s="2286" t="s">
        <v>920</v>
      </c>
      <c r="B68" s="2287" t="s">
        <v>921</v>
      </c>
      <c r="C68" s="2288">
        <f ca="1">IF(C67&lt;=0,0,ROUND(C67*D68,4))</f>
        <v>60.5</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23.1</v>
      </c>
      <c r="M68" s="1855">
        <f ca="1">ROUND(L68,1)</f>
        <v>23.1</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46</v>
      </c>
      <c r="N69" s="2358">
        <f ca="1">M69/M49</f>
        <v>3.9826839826839829E-2</v>
      </c>
      <c r="Z69" s="2113"/>
      <c r="AI69" s="2114"/>
    </row>
    <row r="70" spans="1:35" s="886" customFormat="1" ht="14.4" thickBot="1">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1100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5.5</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5.5</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1094.5</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654.77499999999998</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1100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6</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6</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1094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182.33333333333334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654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比较法-商业2</v>
      </c>
      <c r="D101" s="2335" t="str">
        <f>D4</f>
        <v>收益法2</v>
      </c>
      <c r="E101" s="3332" t="s">
        <v>971</v>
      </c>
      <c r="F101" s="3327"/>
      <c r="G101" s="2337" t="s">
        <v>972</v>
      </c>
      <c r="H101" s="2338">
        <f ca="1">H118</f>
        <v>1155</v>
      </c>
      <c r="I101" s="1458"/>
    </row>
    <row r="102" spans="1:35" ht="18.75" customHeight="1">
      <c r="A102" s="3292" t="s">
        <v>973</v>
      </c>
      <c r="B102" s="2339" t="s">
        <v>972</v>
      </c>
      <c r="C102" s="2334">
        <f ca="1">IF(D32="楼面单价",ROUND(C19,0),C19)</f>
        <v>1228</v>
      </c>
      <c r="D102" s="2335">
        <f ca="1">IF(D32="楼面单价",ROUND(D19,0),D19)</f>
        <v>987</v>
      </c>
      <c r="E102" s="3332"/>
      <c r="F102" s="3327"/>
      <c r="G102" s="2337" t="s">
        <v>99</v>
      </c>
      <c r="H102" s="2227">
        <f ca="1">I118</f>
        <v>30818</v>
      </c>
      <c r="I102" s="1458"/>
    </row>
    <row r="103" spans="1:35" ht="42.75" customHeight="1">
      <c r="A103" s="3292"/>
      <c r="B103" s="2339" t="s">
        <v>99</v>
      </c>
      <c r="C103" s="2340">
        <f ca="1">C20</f>
        <v>32744</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1155</v>
      </c>
      <c r="D104" s="2345"/>
      <c r="E104" s="2183" t="s">
        <v>976</v>
      </c>
      <c r="F104" s="2346"/>
      <c r="G104" s="2342" t="s">
        <v>102</v>
      </c>
      <c r="H104" s="2347">
        <f>IF(D36="同一抵押权人同一抵押物续贷",C36&amp;"（续贷，未扣减，详见特别提示）",C36)</f>
        <v>0</v>
      </c>
      <c r="I104" s="1458"/>
    </row>
    <row r="105" spans="1:35" ht="18.75" customHeight="1" thickBot="1">
      <c r="A105" s="3293"/>
      <c r="B105" s="2348" t="s">
        <v>99</v>
      </c>
      <c r="C105" s="2349">
        <f ca="1">I118</f>
        <v>30818</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1155</v>
      </c>
      <c r="I107" s="1458"/>
    </row>
    <row r="108" spans="1:35" ht="18.75" customHeight="1">
      <c r="A108" s="1458"/>
      <c r="B108" s="1458"/>
      <c r="C108" s="1458"/>
      <c r="D108" s="1458"/>
      <c r="E108" s="3326"/>
      <c r="F108" s="3327"/>
      <c r="G108" s="2337" t="s">
        <v>99</v>
      </c>
      <c r="H108" s="2227">
        <f ca="1">IF(H107=H101,H102,ROUND(H107*10000/'数据-汇总表'!E3,0))</f>
        <v>30818</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thickBo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893</v>
      </c>
      <c r="E118" s="868">
        <f ca="1">ROUND(IF(C33="自定义",IF(D32="楼面单价",C34,D118*10000/B118),I118-G118),0)</f>
        <v>23822</v>
      </c>
      <c r="F118" s="868">
        <f ca="1">ROUND(IF(D32="总价",C35,G118*B118/10000),0)</f>
        <v>262</v>
      </c>
      <c r="G118" s="868">
        <f ca="1">ROUND(IF(D32="楼面单价",C35,F118*10000/B118),0)</f>
        <v>6996</v>
      </c>
      <c r="H118" s="2357">
        <f ca="1">ROUND(IF(D32="总价",C32,I118*B118/10000),0)</f>
        <v>1155</v>
      </c>
      <c r="I118" s="868">
        <f ca="1">ROUND(IF(D32="楼面单价",C32,H118*10000/B118),0)</f>
        <v>30818</v>
      </c>
    </row>
    <row r="119" spans="1:27" ht="18.75" customHeight="1">
      <c r="A119" s="3286" t="s">
        <v>988</v>
      </c>
      <c r="B119" s="3286"/>
      <c r="C119" s="3286"/>
      <c r="D119" s="3298" t="str">
        <f ca="1">NUMBERSTRING(INT(D118*10000),2)&amp;"元整"</f>
        <v>捌佰玖拾叁万元整</v>
      </c>
      <c r="E119" s="3300"/>
      <c r="F119" s="3298" t="str">
        <f ca="1">NUMBERSTRING(INT(F118*10000),2)&amp;"元整"</f>
        <v>贰佰陆拾贰万元整</v>
      </c>
      <c r="G119" s="3300"/>
      <c r="H119" s="3298" t="str">
        <f ca="1">NUMBERSTRING(INT(H118*10000),2)&amp;"元整"</f>
        <v>壹仟壹佰伍拾伍万元整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1155</v>
      </c>
      <c r="E122" s="3336"/>
      <c r="F122" s="3336"/>
      <c r="G122" s="3336"/>
      <c r="H122" s="3336"/>
      <c r="I122" s="3337"/>
      <c r="AA122" s="1417"/>
    </row>
    <row r="123" spans="1:27" ht="18.75" customHeight="1">
      <c r="A123" s="3286" t="s">
        <v>988</v>
      </c>
      <c r="B123" s="3286"/>
      <c r="C123" s="3286"/>
      <c r="D123" s="3298" t="str">
        <f ca="1">NUMBERSTRING(INT(D122*10000),2)&amp;"元整"</f>
        <v>壹仟壹佰伍拾伍万元整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9" zoomScaleNormal="70" zoomScaleSheetLayoutView="100" workbookViewId="0">
      <selection activeCell="K36" sqref="K36"/>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1227.7035000000001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32744</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5" thickBot="1">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16"/>
      <c r="Q25" s="621" t="str">
        <f t="shared" ref="Q25:Q46" si="11">B25</f>
        <v>临街状况</v>
      </c>
      <c r="R25" s="1118" t="s">
        <v>1358</v>
      </c>
      <c r="S25" s="1119">
        <f>F25</f>
        <v>102</v>
      </c>
      <c r="T25" s="1118" t="s">
        <v>1358</v>
      </c>
      <c r="U25" s="1119">
        <f>H25</f>
        <v>102</v>
      </c>
      <c r="V25" s="1118" t="s">
        <v>1358</v>
      </c>
      <c r="W25" s="1119">
        <f>J25</f>
        <v>102</v>
      </c>
      <c r="X25" s="1113"/>
      <c r="Y25" s="3421"/>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8"/>
      <c r="Q33" s="1308" t="str">
        <f t="shared" si="11"/>
        <v>项目建筑规模</v>
      </c>
      <c r="R33" s="1120" t="s">
        <v>1358</v>
      </c>
      <c r="S33" s="1121">
        <f t="shared" si="12"/>
        <v>102</v>
      </c>
      <c r="T33" s="1120" t="s">
        <v>1358</v>
      </c>
      <c r="U33" s="1121">
        <f t="shared" si="13"/>
        <v>102</v>
      </c>
      <c r="V33" s="1120" t="s">
        <v>1358</v>
      </c>
      <c r="W33" s="1121">
        <f t="shared" si="14"/>
        <v>102</v>
      </c>
      <c r="X33" s="1122"/>
      <c r="Y33" s="3422"/>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98</v>
      </c>
      <c r="X36" s="1113"/>
      <c r="Y36" s="3422"/>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32744</v>
      </c>
      <c r="D48" s="1009" t="s">
        <v>1402</v>
      </c>
      <c r="E48" s="1295">
        <f>R48</f>
        <v>32661</v>
      </c>
      <c r="F48" s="1010"/>
      <c r="G48" s="1294">
        <f>T48</f>
        <v>34818</v>
      </c>
      <c r="H48" s="1010"/>
      <c r="I48" s="1295">
        <f>V48</f>
        <v>30752</v>
      </c>
      <c r="J48" s="1010"/>
      <c r="K48" s="1095">
        <f>F48+H48+J48</f>
        <v>0</v>
      </c>
      <c r="L48" s="1094"/>
      <c r="M48" s="1015"/>
      <c r="N48" s="1015"/>
      <c r="O48" s="1015"/>
      <c r="P48" s="3408" t="str">
        <f>A48</f>
        <v>比较价值（元/平方米）</v>
      </c>
      <c r="Q48" s="3408"/>
      <c r="R48" s="3406">
        <f>IF(F1="售价",ROUND(PRODUCT(R47,AA7:AA46),0),ROUND(PRODUCT(R47,AA7:AA46),1))</f>
        <v>32661</v>
      </c>
      <c r="S48" s="3406"/>
      <c r="T48" s="3406">
        <f>IF(F1="售价",ROUND(PRODUCT(T47,AB7:AB46),0),ROUND(PRODUCT(T47,AB7:AB46),1))</f>
        <v>34818</v>
      </c>
      <c r="U48" s="3406"/>
      <c r="V48" s="3406">
        <f>IF(F1="售价",ROUND(PRODUCT(V47,AC7:AC46),0),ROUND(PRODUCT(V47,AC7:AC46),1))</f>
        <v>30752</v>
      </c>
      <c r="W48" s="3406"/>
      <c r="X48" s="1055"/>
      <c r="Y48" s="1055"/>
      <c r="Z48" s="1055"/>
      <c r="AA48" s="1055"/>
      <c r="AB48" s="1055"/>
      <c r="AC48" s="1055"/>
    </row>
    <row r="49" spans="1:29" ht="15" thickBot="1">
      <c r="A49" s="1012" t="s">
        <v>1403</v>
      </c>
      <c r="B49" s="1013"/>
      <c r="C49" s="925">
        <f>R49</f>
        <v>32744</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32744</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2.8106916505924451E-2</v>
      </c>
      <c r="F52" s="1019" t="str">
        <f>IF(OR(E52&gt;=0.3,E52&lt;=-0.3),"超过30%","")</f>
        <v/>
      </c>
      <c r="G52" s="1018">
        <f>IF(G47&lt;G48,G48/G47-1,G47/G48-1)</f>
        <v>7.5535642483772758E-3</v>
      </c>
      <c r="H52" s="1019" t="str">
        <f>IF(OR(G52&gt;=0.3,G52&lt;=-0.3),"超过30%","")</f>
        <v/>
      </c>
      <c r="I52" s="1018">
        <f>IF(I47&lt;I48,I48/I47-1,I47/I48-1)</f>
        <v>8.201092611862637E-2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6.6042068522090602E-2</v>
      </c>
      <c r="F53" s="1019" t="str">
        <f>IF(OR(E53&gt;=0.2,E53&lt;=-0.2),"超过20%","")</f>
        <v/>
      </c>
      <c r="G53" s="1018">
        <f>IF(G48&lt;I48,I48/G48-1,G48/I48-1)</f>
        <v>0.13221904266389184</v>
      </c>
      <c r="H53" s="1019" t="str">
        <f>IF(OR(G53&gt;=0.2,G53&lt;=-0.2),"超过20%","")</f>
        <v/>
      </c>
      <c r="I53" s="1018">
        <f>IF(I48&lt;E48,E48/I48-1,I48/E48-1)</f>
        <v>6.2077263267429794E-2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986.96270000000004</v>
      </c>
      <c r="C2" s="1833" t="s">
        <v>1149</v>
      </c>
      <c r="D2" s="1834">
        <f ca="1">C40+J29+L46</f>
        <v>9869627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616609</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615839</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374.94</v>
      </c>
      <c r="G7" s="714"/>
      <c r="H7" s="1861"/>
      <c r="I7" s="3385"/>
      <c r="J7" s="1862"/>
      <c r="K7" s="1859"/>
      <c r="L7" s="1855" t="s">
        <v>1164</v>
      </c>
      <c r="M7" s="1856">
        <f ca="1">F7</f>
        <v>374.94</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770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6564</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6564</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-6564</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55602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41056</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6564</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6166</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561007</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9752335</v>
      </c>
      <c r="D40" s="1914" t="s">
        <v>1227</v>
      </c>
      <c r="E40" s="1855" t="s">
        <v>1228</v>
      </c>
      <c r="F40" s="1863">
        <f ca="1">INDIRECT("'数据-取费表'!I"&amp;$G$1)</f>
        <v>5.5E-2</v>
      </c>
      <c r="G40" s="714"/>
      <c r="H40" s="1927">
        <f ca="1">C39/C5</f>
        <v>0.90982616212218759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-987.02880000000005</v>
      </c>
      <c r="D45" s="1941" t="s">
        <v>1446</v>
      </c>
      <c r="E45" s="1937"/>
      <c r="F45" s="1937"/>
      <c r="O45" s="2021" t="s">
        <v>1246</v>
      </c>
      <c r="P45" s="1927"/>
      <c r="Q45" s="1927"/>
      <c r="R45" s="1927"/>
    </row>
    <row r="46" spans="1:18" s="714" customFormat="1" ht="13.8" thickBot="1">
      <c r="A46" s="1942" t="s">
        <v>1247</v>
      </c>
      <c r="C46" s="1943">
        <f ca="1">ROUND(C45,0)</f>
        <v>-987</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9752335</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7920942</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9869627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9752335</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8380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9752335</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6564</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9752335</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-8380</v>
      </c>
      <c r="D67" s="1984" t="s">
        <v>1221</v>
      </c>
      <c r="E67" s="2073"/>
      <c r="F67" s="2074"/>
      <c r="O67" s="2041" t="s">
        <v>1267</v>
      </c>
      <c r="P67" s="2034" t="s">
        <v>1298</v>
      </c>
      <c r="Q67" s="2094">
        <f ca="1">L51</f>
        <v>7920942</v>
      </c>
      <c r="R67" s="2070" t="s">
        <v>1315</v>
      </c>
    </row>
    <row r="68" spans="1:18" s="714" customFormat="1" ht="16.2" thickBot="1">
      <c r="A68" s="2075" t="s">
        <v>1225</v>
      </c>
      <c r="B68" s="2076" t="s">
        <v>1242</v>
      </c>
      <c r="C68" s="1926">
        <f ca="1">ROUND(C67*(1-((1+F70)/(1+F68))^F69)/(F68-F70),0)</f>
        <v>-117953</v>
      </c>
      <c r="D68" s="1987" t="s">
        <v>1227</v>
      </c>
      <c r="E68" s="1977" t="s">
        <v>1228</v>
      </c>
      <c r="F68" s="1863">
        <f ca="1">F40</f>
        <v>5.5E-2</v>
      </c>
      <c r="O68" s="2041" t="s">
        <v>1271</v>
      </c>
      <c r="P68" s="2093" t="s">
        <v>1316</v>
      </c>
      <c r="Q68" s="2070">
        <f ca="1">ROUND(Q69-Q70*Q71,0)</f>
        <v>433883</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561007</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-315</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9752335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zoomScaleNormal="100" zoomScaleSheetLayoutView="100" zoomScalePageLayoutView="80" workbookViewId="0">
      <selection activeCell="I23" sqref="I2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2868</v>
      </c>
      <c r="D4" s="2121" t="s">
        <v>2860</v>
      </c>
      <c r="E4" s="3364" t="s">
        <v>783</v>
      </c>
      <c r="F4" s="3365"/>
      <c r="G4" s="3365"/>
      <c r="H4" s="3365"/>
      <c r="I4" s="3366"/>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498.95519999999999</v>
      </c>
      <c r="D19" s="1245">
        <f ca="1">SUMIF(INDIRECT("'"&amp;D4&amp;"'"&amp;"!A:A"),结果表112!B19,INDIRECT("'"&amp;D4&amp;"'"&amp;"!B:B"))</f>
        <v>408.98270000000002</v>
      </c>
      <c r="E19" s="1129" t="s">
        <v>808</v>
      </c>
      <c r="F19" s="2132" t="s">
        <v>807</v>
      </c>
      <c r="G19" s="2134">
        <f ca="1">ROUND(C19*$C$18+D19*$D$18,0)</f>
        <v>472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32114</v>
      </c>
      <c r="D20" s="1602">
        <f ca="1">SUMIF(INDIRECT("'"&amp;D4&amp;"'"&amp;"!A:A"),结果表112!B20,INDIRECT("'"&amp;D4&amp;"'"&amp;"!B:B"))</f>
        <v>26323</v>
      </c>
      <c r="E20" s="2136"/>
      <c r="F20" s="2137" t="s">
        <v>810</v>
      </c>
      <c r="G20" s="2138">
        <f ca="1">ROUND(C20*$C$18+D20*$D$18,0)</f>
        <v>30377</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0.21999096783311356</v>
      </c>
      <c r="E22" s="1458"/>
      <c r="F22" s="1458"/>
      <c r="G22" s="1458"/>
      <c r="H22" s="1458"/>
      <c r="I22" s="1458"/>
    </row>
    <row r="23" spans="1:36" ht="13.8" thickBot="1">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30377</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23481</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 thickBot="1">
      <c r="A35" s="2172"/>
      <c r="B35" s="2173" t="s">
        <v>828</v>
      </c>
      <c r="C35" s="2174">
        <f ca="1">IF(C33="自定义",F35,ROUND(C32*D35,0))</f>
        <v>6896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 thickBot="1">
      <c r="A36" s="3289" t="s">
        <v>830</v>
      </c>
      <c r="B36" s="2178" t="s">
        <v>831</v>
      </c>
      <c r="C36" s="2179"/>
      <c r="D36" s="2180"/>
      <c r="E36" s="2181"/>
      <c r="F36" s="2182"/>
      <c r="G36" s="1458"/>
      <c r="H36" s="1458"/>
      <c r="I36" s="1458"/>
    </row>
    <row r="37" spans="1:15" ht="15" thickBot="1">
      <c r="A37" s="3290"/>
      <c r="B37" s="2183" t="s">
        <v>832</v>
      </c>
      <c r="C37" s="2184"/>
      <c r="D37" s="2185"/>
      <c r="E37" s="2185"/>
      <c r="F37" s="2182"/>
      <c r="G37" s="1458"/>
      <c r="H37" s="1458"/>
      <c r="I37" s="1458"/>
    </row>
    <row r="38" spans="1:15" ht="15" thickBot="1">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69" t="s">
        <v>841</v>
      </c>
      <c r="B45" s="3370"/>
      <c r="C45" s="3371"/>
      <c r="D45" s="2204">
        <f ca="1">ROUND(H101*F45,4)</f>
        <v>472</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24.723800000000001</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472</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472</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25</v>
      </c>
      <c r="E52" s="1908" t="s">
        <v>873</v>
      </c>
      <c r="F52" s="2226">
        <f>'数据-取费表'!B41</f>
        <v>5.5000000000000007E-2</v>
      </c>
      <c r="G52" s="2227"/>
      <c r="H52" s="2019"/>
      <c r="I52" s="2256"/>
      <c r="J52" s="576">
        <v>1</v>
      </c>
      <c r="K52" s="3344" t="s">
        <v>874</v>
      </c>
      <c r="L52" s="3344"/>
      <c r="M52" s="2257">
        <f ca="1">D48</f>
        <v>24.723800000000001</v>
      </c>
      <c r="N52" s="576" t="str">
        <f>E48</f>
        <v>(销售额-原购置价)×税（费）率</v>
      </c>
      <c r="O52" s="2258">
        <f>F48</f>
        <v>5.5000000000000007E-2</v>
      </c>
    </row>
    <row r="53" spans="1:35" ht="12" customHeight="1">
      <c r="A53" s="2225" t="s">
        <v>875</v>
      </c>
      <c r="B53" s="3323" t="s">
        <v>876</v>
      </c>
      <c r="C53" s="3340"/>
      <c r="D53" s="1904">
        <f ca="1">ROUND(D45*'数据-取费表'!B41/(1+'数据-取费表'!C42),0)</f>
        <v>25</v>
      </c>
      <c r="E53" s="1908" t="s">
        <v>873</v>
      </c>
      <c r="F53" s="2226">
        <f>'数据-取费表'!B41</f>
        <v>5.5000000000000007E-2</v>
      </c>
      <c r="G53" s="2227"/>
      <c r="H53" s="2019"/>
      <c r="I53" s="2256"/>
      <c r="J53" s="576">
        <v>2</v>
      </c>
      <c r="K53" s="3344" t="s">
        <v>877</v>
      </c>
      <c r="L53" s="3344"/>
      <c r="M53" s="2257">
        <f t="shared" ref="M53:O54" ca="1" si="0">D55</f>
        <v>0.23599999999999999</v>
      </c>
      <c r="N53" s="576" t="str">
        <f t="shared" si="0"/>
        <v>销售额×税（费）率</v>
      </c>
      <c r="O53" s="2258">
        <f t="shared" si="0"/>
        <v>5.0000000000000001E-4</v>
      </c>
    </row>
    <row r="54" spans="1:35" ht="12" customHeight="1">
      <c r="A54" s="2225" t="s">
        <v>878</v>
      </c>
      <c r="B54" s="3323" t="s">
        <v>879</v>
      </c>
      <c r="C54" s="3340"/>
      <c r="D54" s="1904">
        <f ca="1">C68</f>
        <v>24.723800000000001</v>
      </c>
      <c r="E54" s="1918" t="s">
        <v>880</v>
      </c>
      <c r="F54" s="2226">
        <f>'数据-取费表'!B41</f>
        <v>5.5000000000000007E-2</v>
      </c>
      <c r="G54" s="2227"/>
      <c r="H54" s="2228"/>
      <c r="I54" s="2256"/>
      <c r="J54" s="576">
        <v>3</v>
      </c>
      <c r="K54" s="3344" t="s">
        <v>881</v>
      </c>
      <c r="L54" s="3344"/>
      <c r="M54" s="2257">
        <f t="shared" ca="1" si="0"/>
        <v>267.57909999999998</v>
      </c>
      <c r="N54" s="576" t="str">
        <f t="shared" si="0"/>
        <v>增值额×税（费）率</v>
      </c>
      <c r="O54" s="2259" t="str">
        <f t="shared" si="0"/>
        <v>——</v>
      </c>
    </row>
    <row r="55" spans="1:35" ht="24" customHeight="1">
      <c r="A55" s="3349" t="s">
        <v>882</v>
      </c>
      <c r="B55" s="3350"/>
      <c r="C55" s="3350"/>
      <c r="D55" s="2229">
        <f ca="1">IF(H55="个人住宅",0,ROUND(D45*I55,4))</f>
        <v>0.23599999999999999</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4.72</v>
      </c>
      <c r="N55" s="557" t="str">
        <f>E59</f>
        <v>销售额×税（费）率</v>
      </c>
      <c r="O55" s="2262">
        <f>F59</f>
        <v>0.01</v>
      </c>
    </row>
    <row r="56" spans="1:35" ht="25.2">
      <c r="A56" s="3349" t="s">
        <v>885</v>
      </c>
      <c r="B56" s="3350"/>
      <c r="C56" s="3350"/>
      <c r="D56" s="2005">
        <f ca="1">IF(H56="个人住宅",D57,D58)</f>
        <v>267.57909999999998</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IF(AND(J55="",J56=""),4,IF(项目基本情况!K6="上海银行",结果表112!J56+1,结果表112!J55+1))</f>
        <v>5</v>
      </c>
      <c r="K57" s="3344" t="s">
        <v>889</v>
      </c>
      <c r="L57" s="2264" t="s">
        <v>890</v>
      </c>
      <c r="M57" s="2265"/>
      <c r="N57" s="2266">
        <f ca="1">SUMIF(M52:M56,"&lt;9e307")</f>
        <v>297.25890000000004</v>
      </c>
      <c r="O57" s="2267"/>
      <c r="P57" s="2268">
        <f ca="1">N57/M49</f>
        <v>0.6297858050847458</v>
      </c>
    </row>
    <row r="58" spans="1:35" ht="25.2">
      <c r="A58" s="2225" t="s">
        <v>871</v>
      </c>
      <c r="B58" s="3323" t="s">
        <v>891</v>
      </c>
      <c r="C58" s="3324"/>
      <c r="D58" s="2005">
        <f ca="1">IF(H58="转让取得",C81,C97)</f>
        <v>267.57909999999998</v>
      </c>
      <c r="E58" s="1908" t="s">
        <v>886</v>
      </c>
      <c r="F58" s="1855" t="s">
        <v>124</v>
      </c>
      <c r="G58" s="2227"/>
      <c r="H58" s="2231" t="s">
        <v>892</v>
      </c>
      <c r="I58" s="2239"/>
      <c r="J58" s="3344"/>
      <c r="K58" s="3344"/>
      <c r="L58" s="2264" t="s">
        <v>893</v>
      </c>
      <c r="M58" s="2269"/>
      <c r="N58" s="2270" t="str">
        <f ca="1">NUMBERSTRING(INT(N57*10000),2)&amp;"元整"</f>
        <v>贰佰玖拾柒万贰仟伍佰捌拾玖元整</v>
      </c>
      <c r="O58" s="2271"/>
    </row>
    <row r="59" spans="1:35" ht="27" thickBot="1">
      <c r="A59" s="3341" t="s">
        <v>894</v>
      </c>
      <c r="B59" s="3342"/>
      <c r="C59" s="3342"/>
      <c r="D59" s="3177">
        <f ca="1">IF(H59="非个人房产","——",IF(H59="个人住宅（满五唯一有凭证）",0,IF(H59="个人其他（无凭证）",ROUND(D45*F59,4),ROUND(C67*F59,4))))</f>
        <v>4.72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174.74109999999996</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壹佰柒拾肆万柒仟肆佰壹拾壹元整</v>
      </c>
      <c r="O60" s="2271"/>
    </row>
    <row r="61" spans="1:35" ht="13.8" thickBot="1">
      <c r="A61" s="3343" t="s">
        <v>897</v>
      </c>
      <c r="B61" s="3343"/>
      <c r="C61" s="3343"/>
      <c r="D61" s="3343"/>
      <c r="E61" s="3343"/>
      <c r="F61" s="2239"/>
      <c r="G61" s="2239"/>
      <c r="H61" s="1459"/>
      <c r="I61" s="1458"/>
      <c r="J61" s="576">
        <f>J59+1</f>
        <v>7</v>
      </c>
      <c r="K61" s="3344" t="s">
        <v>898</v>
      </c>
      <c r="L61" s="3344"/>
      <c r="M61" s="2276"/>
      <c r="N61" s="2488">
        <f ca="1">ROUND(N59*10000/'数据-汇总表'!E3,0)</f>
        <v>1973</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449.52379999999999</v>
      </c>
      <c r="D63" s="586"/>
      <c r="E63" s="2243"/>
      <c r="F63" s="2239"/>
      <c r="G63" s="2239"/>
      <c r="H63" s="1459"/>
      <c r="I63" s="1458"/>
      <c r="J63" s="3347" t="s">
        <v>903</v>
      </c>
      <c r="K63" s="2278" t="s">
        <v>904</v>
      </c>
      <c r="L63" s="2278">
        <f ca="1">IF(M49&gt;10000,M49*0.5%,IF(AND(M49&gt;1000,M49&lt;=10000),M49*1%,IF(AND(M49&gt;100,M49&lt;=1000),M49*3%,IF(AND(M49&gt;10,M49&lt;=100),M49*5%,M49*8%))))</f>
        <v>14.16</v>
      </c>
      <c r="M63" s="1855">
        <f ca="1">ROUND(L63,1)</f>
        <v>14.2</v>
      </c>
      <c r="N63" s="2279"/>
      <c r="Z63" s="2113"/>
      <c r="AI63" s="2114"/>
    </row>
    <row r="64" spans="1:35" ht="14.25" customHeight="1">
      <c r="A64" s="2244" t="s">
        <v>905</v>
      </c>
      <c r="B64" s="509" t="s">
        <v>906</v>
      </c>
      <c r="C64" s="2245">
        <f ca="1">D45</f>
        <v>472</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3.7760000000000002</v>
      </c>
      <c r="M64" s="1855">
        <f t="shared" ref="M64:M65" ca="1" si="1">ROUND(L64,1)</f>
        <v>3.8</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4.72</v>
      </c>
      <c r="M65" s="1855">
        <f t="shared" ca="1" si="1"/>
        <v>4.7</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2.36</v>
      </c>
      <c r="M66" s="1855">
        <f ca="1">IF(L66&gt;0.5,0.5,ROUND(L66,0))</f>
        <v>0.5</v>
      </c>
      <c r="N66" s="2019" t="s">
        <v>916</v>
      </c>
      <c r="Z66" s="2113"/>
      <c r="AI66" s="2114"/>
    </row>
    <row r="67" spans="1:35" ht="14.25" customHeight="1">
      <c r="A67" s="2241" t="s">
        <v>917</v>
      </c>
      <c r="B67" s="2282" t="s">
        <v>918</v>
      </c>
      <c r="C67" s="2285">
        <f ca="1">C63-C66</f>
        <v>449.52379999999999</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1.4300000000000002</v>
      </c>
      <c r="M67" s="1855">
        <f ca="1">ROUND(L67*0.9,1)</f>
        <v>1.3</v>
      </c>
      <c r="N67" s="2279"/>
      <c r="Z67" s="2113"/>
      <c r="AI67" s="2114"/>
    </row>
    <row r="68" spans="1:35" ht="14.25" customHeight="1" thickBot="1">
      <c r="A68" s="2286" t="s">
        <v>920</v>
      </c>
      <c r="B68" s="2287" t="s">
        <v>921</v>
      </c>
      <c r="C68" s="2288">
        <f ca="1">IF(C67&lt;=0,0,ROUND(C67*D68,4))</f>
        <v>24.723800000000001</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14.16</v>
      </c>
      <c r="M68" s="1855">
        <f ca="1">ROUND(L68,1)</f>
        <v>14.2</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39</v>
      </c>
      <c r="N69" s="2358">
        <f ca="1">M69/M49</f>
        <v>8.2627118644067798E-2</v>
      </c>
      <c r="Z69" s="2113"/>
      <c r="AI69" s="2114"/>
    </row>
    <row r="70" spans="1:35" s="886" customFormat="1" ht="14.4" thickBot="1">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449.52379999999999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2.2475999999999998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2.2475999999999998</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447.27620000000002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199.00169069229403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267.57909999999998</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450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448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268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比较法-商业3</v>
      </c>
      <c r="D101" s="2335" t="str">
        <f>D4</f>
        <v>收益法3</v>
      </c>
      <c r="E101" s="3332" t="s">
        <v>971</v>
      </c>
      <c r="F101" s="3327"/>
      <c r="G101" s="2337" t="s">
        <v>972</v>
      </c>
      <c r="H101" s="2338">
        <f ca="1">H118</f>
        <v>472</v>
      </c>
      <c r="I101" s="1458"/>
    </row>
    <row r="102" spans="1:35" ht="18.75" customHeight="1">
      <c r="A102" s="3292" t="s">
        <v>973</v>
      </c>
      <c r="B102" s="2339" t="s">
        <v>972</v>
      </c>
      <c r="C102" s="2334">
        <f ca="1">IF(D32="楼面单价",ROUND(C19,0),C19)</f>
        <v>499</v>
      </c>
      <c r="D102" s="2335">
        <f ca="1">IF(D32="楼面单价",ROUND(D19,0),D19)</f>
        <v>409</v>
      </c>
      <c r="E102" s="3332"/>
      <c r="F102" s="3327"/>
      <c r="G102" s="2337" t="s">
        <v>99</v>
      </c>
      <c r="H102" s="2227">
        <f ca="1">I118</f>
        <v>30377</v>
      </c>
      <c r="I102" s="1458"/>
    </row>
    <row r="103" spans="1:35" ht="42.75" customHeight="1">
      <c r="A103" s="3292"/>
      <c r="B103" s="2339" t="s">
        <v>99</v>
      </c>
      <c r="C103" s="2340">
        <f ca="1">C20</f>
        <v>32114</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472</v>
      </c>
      <c r="D104" s="2345"/>
      <c r="E104" s="2183" t="s">
        <v>976</v>
      </c>
      <c r="F104" s="2346"/>
      <c r="G104" s="2342" t="s">
        <v>102</v>
      </c>
      <c r="H104" s="2347">
        <f>IF(D36="同一抵押权人同一抵押物续贷",C36&amp;"（续贷，未扣减，详见特别提示）",C36)</f>
        <v>0</v>
      </c>
      <c r="I104" s="1458"/>
    </row>
    <row r="105" spans="1:35" ht="18.75" customHeight="1" thickBot="1">
      <c r="A105" s="3293"/>
      <c r="B105" s="2348" t="s">
        <v>99</v>
      </c>
      <c r="C105" s="2349">
        <f ca="1">I118</f>
        <v>30377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472</v>
      </c>
      <c r="I107" s="1458"/>
    </row>
    <row r="108" spans="1:35" ht="18.75" customHeight="1">
      <c r="A108" s="1458"/>
      <c r="B108" s="1458"/>
      <c r="C108" s="1458"/>
      <c r="D108" s="1458"/>
      <c r="E108" s="3326"/>
      <c r="F108" s="3327"/>
      <c r="G108" s="2337" t="s">
        <v>99</v>
      </c>
      <c r="H108" s="2227">
        <f ca="1">IF(H107=H101,H102,ROUND(H107*10000/'数据-汇总表'!E3,0))</f>
        <v>30377</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thickBo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365</v>
      </c>
      <c r="E118" s="868">
        <f ca="1">ROUND(IF(C33="自定义",IF(D32="楼面单价",C34,D118*10000/B118),I118-G118),0)</f>
        <v>23481</v>
      </c>
      <c r="F118" s="868">
        <f ca="1">ROUND(IF(D32="总价",C35,G118*B118/10000),0)</f>
        <v>107</v>
      </c>
      <c r="G118" s="868">
        <f ca="1">ROUND(IF(D32="楼面单价",C35,F118*10000/B118),0)</f>
        <v>6896</v>
      </c>
      <c r="H118" s="2357">
        <f ca="1">ROUND(IF(D32="总价",C32,I118*B118/10000),0)</f>
        <v>472</v>
      </c>
      <c r="I118" s="868">
        <f ca="1">ROUND(IF(D32="楼面单价",C32,H118*10000/B118),0)</f>
        <v>30377</v>
      </c>
    </row>
    <row r="119" spans="1:27" ht="18.75" customHeight="1">
      <c r="A119" s="3286" t="s">
        <v>988</v>
      </c>
      <c r="B119" s="3286"/>
      <c r="C119" s="3286"/>
      <c r="D119" s="3298" t="str">
        <f ca="1">NUMBERSTRING(INT(D118*10000),2)&amp;"元整"</f>
        <v>叁佰陆拾伍万元整</v>
      </c>
      <c r="E119" s="3300"/>
      <c r="F119" s="3298" t="str">
        <f ca="1">NUMBERSTRING(INT(F118*10000),2)&amp;"元整"</f>
        <v>壹佰零柒万元整</v>
      </c>
      <c r="G119" s="3300"/>
      <c r="H119" s="3298" t="str">
        <f ca="1">NUMBERSTRING(INT(H118*10000),2)&amp;"元整"</f>
        <v>肆佰柒拾贰万元整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472</v>
      </c>
      <c r="E122" s="3336"/>
      <c r="F122" s="3336"/>
      <c r="G122" s="3336"/>
      <c r="H122" s="3336"/>
      <c r="I122" s="3337"/>
      <c r="AA122" s="1417"/>
    </row>
    <row r="123" spans="1:27" ht="18.75" customHeight="1">
      <c r="A123" s="3286" t="s">
        <v>988</v>
      </c>
      <c r="B123" s="3286"/>
      <c r="C123" s="3286"/>
      <c r="D123" s="3298" t="str">
        <f ca="1">NUMBERSTRING(INT(D122*10000),2)&amp;"元整"</f>
        <v>肆佰柒拾贰万元整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10" zoomScaleNormal="70" zoomScaleSheetLayoutView="100" workbookViewId="0">
      <selection activeCell="M33" sqref="M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498.95519999999999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32114</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5" thickBot="1">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2870</v>
      </c>
      <c r="D25" s="755">
        <v>100</v>
      </c>
      <c r="E25" s="976" t="s">
        <v>2863</v>
      </c>
      <c r="F25" s="1097">
        <f>SUMIF(86:86,E25,87:87)-SUMIF(86:86,C25,87:87)+100</f>
        <v>104</v>
      </c>
      <c r="G25" s="976" t="s">
        <v>2863</v>
      </c>
      <c r="H25" s="755">
        <f>SUMIF(86:86,G25,87:87)-SUMIF(86:86,C25,87:87)+100</f>
        <v>104</v>
      </c>
      <c r="I25" s="976" t="s">
        <v>2863</v>
      </c>
      <c r="J25" s="755">
        <f>SUMIF(86:86,I25,87:87)-SUMIF(86:86,C25,87:87)+100</f>
        <v>104</v>
      </c>
      <c r="K25" s="1088">
        <v>2</v>
      </c>
      <c r="L25" s="1081"/>
      <c r="M25" s="1015"/>
      <c r="N25" s="1015"/>
      <c r="O25" s="1015"/>
      <c r="P25" s="3416"/>
      <c r="Q25" s="621" t="str">
        <f t="shared" ref="Q25:Q46" si="11">B25</f>
        <v>临街状况</v>
      </c>
      <c r="R25" s="1118" t="s">
        <v>1358</v>
      </c>
      <c r="S25" s="1119">
        <f>F25</f>
        <v>104</v>
      </c>
      <c r="T25" s="1118" t="s">
        <v>1358</v>
      </c>
      <c r="U25" s="1119">
        <f>H25</f>
        <v>104</v>
      </c>
      <c r="V25" s="1118" t="s">
        <v>1358</v>
      </c>
      <c r="W25" s="1119">
        <f>J25</f>
        <v>104</v>
      </c>
      <c r="X25" s="1113"/>
      <c r="Y25" s="3421"/>
      <c r="Z25" s="1102" t="str">
        <f>Q25</f>
        <v>临街状况</v>
      </c>
      <c r="AA25" s="1102">
        <f t="shared" si="3"/>
        <v>0.96153846153846156</v>
      </c>
      <c r="AB25" s="1102">
        <f t="shared" si="4"/>
        <v>0.96153846153846156</v>
      </c>
      <c r="AC25" s="1102">
        <f t="shared" si="5"/>
        <v>0.96153846153846156</v>
      </c>
    </row>
    <row r="26" spans="1:29" ht="15">
      <c r="A26" s="943"/>
      <c r="B26" s="1177" t="s">
        <v>1607</v>
      </c>
      <c r="C26" s="3193" t="s">
        <v>2869</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16"/>
      <c r="Q26" s="621" t="str">
        <f t="shared" si="11"/>
        <v>平面位置/可视性</v>
      </c>
      <c r="R26" s="1118" t="s">
        <v>1358</v>
      </c>
      <c r="S26" s="1119">
        <f>F26</f>
        <v>102</v>
      </c>
      <c r="T26" s="1118" t="s">
        <v>1358</v>
      </c>
      <c r="U26" s="1119">
        <f>H26</f>
        <v>102</v>
      </c>
      <c r="V26" s="1118" t="s">
        <v>1358</v>
      </c>
      <c r="W26" s="1119">
        <f>J26</f>
        <v>102</v>
      </c>
      <c r="X26" s="1113"/>
      <c r="Y26" s="3421"/>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18"/>
      <c r="Q33" s="1308" t="str">
        <f t="shared" si="11"/>
        <v>项目建筑规模</v>
      </c>
      <c r="R33" s="1120" t="s">
        <v>1358</v>
      </c>
      <c r="S33" s="1121">
        <f t="shared" si="12"/>
        <v>100</v>
      </c>
      <c r="T33" s="1120" t="s">
        <v>1358</v>
      </c>
      <c r="U33" s="1121">
        <f t="shared" si="13"/>
        <v>100</v>
      </c>
      <c r="V33" s="1120" t="s">
        <v>1358</v>
      </c>
      <c r="W33" s="1121">
        <f t="shared" si="14"/>
        <v>100</v>
      </c>
      <c r="X33" s="1122"/>
      <c r="Y33" s="3422"/>
      <c r="Z33" s="1127" t="str">
        <f t="shared" si="15"/>
        <v>项目建筑规模</v>
      </c>
      <c r="AA33" s="1102">
        <f t="shared" si="3"/>
        <v>1</v>
      </c>
      <c r="AB33" s="1102">
        <f t="shared" si="4"/>
        <v>1</v>
      </c>
      <c r="AC33" s="1102">
        <f t="shared" si="5"/>
        <v>1</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8"/>
      <c r="Q36" s="621" t="str">
        <f t="shared" si="11"/>
        <v>成新度</v>
      </c>
      <c r="R36" s="1118" t="s">
        <v>1358</v>
      </c>
      <c r="S36" s="1119">
        <f t="shared" si="12"/>
        <v>96</v>
      </c>
      <c r="T36" s="1118" t="s">
        <v>1358</v>
      </c>
      <c r="U36" s="1119">
        <f t="shared" si="13"/>
        <v>96</v>
      </c>
      <c r="V36" s="1118" t="s">
        <v>1358</v>
      </c>
      <c r="W36" s="1119">
        <f t="shared" si="14"/>
        <v>98</v>
      </c>
      <c r="X36" s="1113"/>
      <c r="Y36" s="3422"/>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32114</v>
      </c>
      <c r="D48" s="1009" t="s">
        <v>1402</v>
      </c>
      <c r="E48" s="1295">
        <f>R48</f>
        <v>32032</v>
      </c>
      <c r="F48" s="1010"/>
      <c r="G48" s="1294">
        <f>T48</f>
        <v>34148</v>
      </c>
      <c r="H48" s="1010"/>
      <c r="I48" s="1295">
        <f>V48</f>
        <v>30161</v>
      </c>
      <c r="J48" s="1010"/>
      <c r="K48" s="1095">
        <f>F48+H48+J48</f>
        <v>0</v>
      </c>
      <c r="L48" s="1094"/>
      <c r="M48" s="1015"/>
      <c r="N48" s="1015"/>
      <c r="O48" s="1015"/>
      <c r="P48" s="3408" t="str">
        <f>A48</f>
        <v>比较价值（元/平方米）</v>
      </c>
      <c r="Q48" s="3408"/>
      <c r="R48" s="3406">
        <f>IF(F1="售价",ROUND(PRODUCT(R47,AA7:AA46),0),ROUND(PRODUCT(R47,AA7:AA46),1))</f>
        <v>32032</v>
      </c>
      <c r="S48" s="3406"/>
      <c r="T48" s="3406">
        <f>IF(F1="售价",ROUND(PRODUCT(T47,AB7:AB46),0),ROUND(PRODUCT(T47,AB7:AB46),1))</f>
        <v>34148</v>
      </c>
      <c r="U48" s="3406"/>
      <c r="V48" s="3406">
        <f>IF(F1="售价",ROUND(PRODUCT(V47,AC7:AC46),0),ROUND(PRODUCT(V47,AC7:AC46),1))</f>
        <v>30161</v>
      </c>
      <c r="W48" s="3406"/>
      <c r="X48" s="1055"/>
      <c r="Y48" s="1055"/>
      <c r="Z48" s="1055"/>
      <c r="AA48" s="1055"/>
      <c r="AB48" s="1055"/>
      <c r="AC48" s="1055"/>
    </row>
    <row r="49" spans="1:29" ht="15" thickBot="1">
      <c r="A49" s="1012" t="s">
        <v>1403</v>
      </c>
      <c r="B49" s="1013"/>
      <c r="C49" s="925">
        <f>R49</f>
        <v>32114</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32114</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4.8295454545454586E-2</v>
      </c>
      <c r="F52" s="1019" t="str">
        <f>IF(OR(E52&gt;=0.3,E52&lt;=-0.3),"超过30%","")</f>
        <v/>
      </c>
      <c r="G52" s="1018">
        <f>IF(G47&lt;G48,G48/G47-1,G47/G48-1)</f>
        <v>2.7322244348131575E-2</v>
      </c>
      <c r="H52" s="1019" t="str">
        <f>IF(OR(G52&gt;=0.3,G52&lt;=-0.3),"超过30%","")</f>
        <v/>
      </c>
      <c r="I52" s="1018">
        <f>IF(I47&lt;I48,I48/I47-1,I47/I48-1)</f>
        <v>0.10321275819767251</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6.6058941058941167E-2</v>
      </c>
      <c r="F53" s="1019" t="str">
        <f>IF(OR(E53&gt;=0.2,E53&lt;=-0.2),"超过20%","")</f>
        <v/>
      </c>
      <c r="G53" s="1018">
        <f>IF(G48&lt;I48,I48/G48-1,G48/I48-1)</f>
        <v>0.13219057723550276</v>
      </c>
      <c r="H53" s="1019" t="str">
        <f>IF(OR(G53&gt;=0.2,G53&lt;=-0.2),"超过20%","")</f>
        <v/>
      </c>
      <c r="I53" s="1018">
        <f>IF(I48&lt;E48,E48/I48-1,I48/E48-1)</f>
        <v>6.2033752196545278E-2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zoomScale="70" zoomScaleNormal="70" workbookViewId="0">
      <selection activeCell="K37" sqref="K3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408.98270000000002</v>
      </c>
      <c r="C2" s="1833" t="s">
        <v>1149</v>
      </c>
      <c r="D2" s="1834">
        <f ca="1">C40+J29+L46</f>
        <v>4089827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255514</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255195</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155.37</v>
      </c>
      <c r="G7" s="714"/>
      <c r="H7" s="1861"/>
      <c r="I7" s="3385"/>
      <c r="J7" s="1862"/>
      <c r="K7" s="1859"/>
      <c r="L7" s="1855" t="s">
        <v>1164</v>
      </c>
      <c r="M7" s="1856">
        <f ca="1">F7</f>
        <v>155.37</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319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2720</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2720</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-2720</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23041</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17013</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2720</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2555</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232473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4041223</v>
      </c>
      <c r="D40" s="1914" t="s">
        <v>1227</v>
      </c>
      <c r="E40" s="1855" t="s">
        <v>1228</v>
      </c>
      <c r="F40" s="1863">
        <f ca="1">INDIRECT("'数据-取费表'!I"&amp;$G$1)</f>
        <v>5.5E-2</v>
      </c>
      <c r="G40" s="714"/>
      <c r="H40" s="1927">
        <f ca="1">C39/C5</f>
        <v>0.90982490196231913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-409.01069999999999</v>
      </c>
      <c r="D45" s="1941" t="s">
        <v>1446</v>
      </c>
      <c r="E45" s="1937"/>
      <c r="F45" s="1937"/>
      <c r="O45" s="2021" t="s">
        <v>1246</v>
      </c>
      <c r="P45" s="1927"/>
      <c r="Q45" s="1927"/>
      <c r="R45" s="1927"/>
    </row>
    <row r="46" spans="1:18" s="714" customFormat="1" ht="13.8" thickBot="1">
      <c r="A46" s="1942" t="s">
        <v>1247</v>
      </c>
      <c r="C46" s="1943">
        <f ca="1">ROUND(C45,0)</f>
        <v>-409</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4041223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3282318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4089827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4041223</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3473</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4041223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2720</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4041223</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-3473</v>
      </c>
      <c r="D67" s="1984" t="s">
        <v>1221</v>
      </c>
      <c r="E67" s="2073"/>
      <c r="F67" s="2074"/>
      <c r="O67" s="2041" t="s">
        <v>1267</v>
      </c>
      <c r="P67" s="2034" t="s">
        <v>1298</v>
      </c>
      <c r="Q67" s="2094">
        <f ca="1">L51</f>
        <v>3282318</v>
      </c>
      <c r="R67" s="2070" t="s">
        <v>1315</v>
      </c>
    </row>
    <row r="68" spans="1:18" s="714" customFormat="1" ht="16.2" thickBot="1">
      <c r="A68" s="2075" t="s">
        <v>1225</v>
      </c>
      <c r="B68" s="2076" t="s">
        <v>1242</v>
      </c>
      <c r="C68" s="1926">
        <f ca="1">ROUND(C67*(1-((1+F70)/(1+F68))^F69)/(F68-F70),0)</f>
        <v>-48884</v>
      </c>
      <c r="D68" s="1987" t="s">
        <v>1227</v>
      </c>
      <c r="E68" s="1977" t="s">
        <v>1228</v>
      </c>
      <c r="F68" s="1863">
        <f ca="1">F40</f>
        <v>5.5E-2</v>
      </c>
      <c r="O68" s="2041" t="s">
        <v>1271</v>
      </c>
      <c r="P68" s="2093" t="s">
        <v>1316</v>
      </c>
      <c r="Q68" s="2070">
        <f ca="1">ROUND(Q69-Q70*Q71,0)</f>
        <v>179795</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232473</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-315</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4041223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abSelected="1"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19" t="s">
        <v>2633</v>
      </c>
      <c r="S1" s="3520"/>
      <c r="T1" s="3520"/>
      <c r="U1" s="3520"/>
      <c r="V1" s="3520"/>
      <c r="W1" s="3520"/>
      <c r="X1" s="246"/>
      <c r="Y1" s="3519" t="s">
        <v>2634</v>
      </c>
      <c r="Z1" s="3520"/>
      <c r="AA1" s="3520"/>
      <c r="AB1" s="3520"/>
      <c r="AC1" s="3520"/>
      <c r="AD1" s="3520"/>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19" t="s">
        <v>2633</v>
      </c>
      <c r="S29" s="3520"/>
      <c r="T29" s="3520"/>
      <c r="U29" s="3520"/>
      <c r="V29" s="3520"/>
      <c r="W29" s="3520"/>
      <c r="X29" s="246"/>
      <c r="Y29" s="3519" t="s">
        <v>2634</v>
      </c>
      <c r="Z29" s="3520"/>
      <c r="AA29" s="3520"/>
      <c r="AB29" s="3520"/>
      <c r="AC29" s="3520"/>
      <c r="AD29" s="3520"/>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结果表110!D116</f>
        <v>出让国有建设用地使用权价值</v>
      </c>
      <c r="E2" s="3214"/>
      <c r="F2" s="3214" t="str">
        <f>结果表110!F116</f>
        <v>在建建筑物价值</v>
      </c>
      <c r="G2" s="3214"/>
      <c r="H2" s="3214" t="str">
        <f>IF(项目基本情况!B9="房地产市场价值","房地产市场价值","房地产价值")</f>
        <v>房地产价值</v>
      </c>
      <c r="I2" s="3214"/>
    </row>
    <row r="3" spans="1:9" ht="15.6">
      <c r="A3" s="3209"/>
      <c r="B3" s="3209"/>
      <c r="C3" s="3209"/>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846</v>
      </c>
      <c r="E4" s="3123">
        <f ca="1">结果表110!E118</f>
        <v>23822</v>
      </c>
      <c r="F4" s="3123">
        <f ca="1">结果表110!F118</f>
        <v>249</v>
      </c>
      <c r="G4" s="3123">
        <f ca="1">结果表110!G118</f>
        <v>6996</v>
      </c>
      <c r="H4" s="3123">
        <f ca="1">结果表110!H118</f>
        <v>1095</v>
      </c>
      <c r="I4" s="3123">
        <f ca="1">结果表110!I118</f>
        <v>30818</v>
      </c>
    </row>
    <row r="5" spans="1:9" ht="30" customHeight="1">
      <c r="A5" s="3209" t="s">
        <v>112</v>
      </c>
      <c r="B5" s="3209"/>
      <c r="C5" s="3209"/>
      <c r="D5" s="3209" t="str">
        <f ca="1">结果表110!D119</f>
        <v>捌佰肆拾陆万元整</v>
      </c>
      <c r="E5" s="3209"/>
      <c r="F5" s="3209" t="str">
        <f ca="1">结果表110!F119</f>
        <v>贰佰肆拾玖万元整</v>
      </c>
      <c r="G5" s="3209"/>
      <c r="H5" s="3209" t="str">
        <f ca="1">结果表110!H119</f>
        <v>壹仟零玖拾伍万元整</v>
      </c>
      <c r="I5" s="3209"/>
    </row>
    <row r="6" spans="1:9" ht="15.6">
      <c r="A6" s="3206" t="str">
        <f>结果表110!A120</f>
        <v>估价师知悉的法定优先受偿款</v>
      </c>
      <c r="B6" s="3206"/>
      <c r="C6" s="3206"/>
      <c r="D6" s="3206">
        <f>结果表110!D120</f>
        <v>0</v>
      </c>
      <c r="E6" s="3206"/>
      <c r="F6" s="3206"/>
      <c r="G6" s="3206"/>
      <c r="H6" s="3206"/>
      <c r="I6" s="3206"/>
    </row>
    <row r="7" spans="1:9" ht="15">
      <c r="A7" s="3209" t="s">
        <v>112</v>
      </c>
      <c r="B7" s="3209"/>
      <c r="C7" s="3209"/>
      <c r="D7" s="3210" t="str">
        <f>结果表110!D121</f>
        <v>零元整</v>
      </c>
      <c r="E7" s="3211"/>
      <c r="F7" s="3211"/>
      <c r="G7" s="3211"/>
      <c r="H7" s="3211"/>
      <c r="I7" s="3212"/>
    </row>
    <row r="8" spans="1:9" ht="15.6">
      <c r="A8" s="3206" t="str">
        <f>结果表110!A122</f>
        <v>房地产抵押价值</v>
      </c>
      <c r="B8" s="3206"/>
      <c r="C8" s="3206"/>
      <c r="D8" s="3206">
        <f ca="1">结果表110!D122</f>
        <v>1095</v>
      </c>
      <c r="E8" s="3206"/>
      <c r="F8" s="3206"/>
      <c r="G8" s="3206"/>
      <c r="H8" s="3206"/>
      <c r="I8" s="3206"/>
    </row>
    <row r="9" spans="1:9" ht="15">
      <c r="A9" s="3209" t="s">
        <v>112</v>
      </c>
      <c r="B9" s="3209"/>
      <c r="C9" s="3209"/>
      <c r="D9" s="3209" t="str">
        <f ca="1">结果表110!D123</f>
        <v>壹仟零玖拾伍万元整</v>
      </c>
      <c r="E9" s="3209"/>
      <c r="F9" s="3209"/>
      <c r="G9" s="3209"/>
      <c r="H9" s="3209"/>
      <c r="I9" s="3209"/>
    </row>
    <row r="10" spans="1:9" ht="15.6">
      <c r="A10" s="3206" t="str">
        <f>结果表110!A124</f>
        <v/>
      </c>
      <c r="B10" s="3206"/>
      <c r="C10" s="3206"/>
      <c r="D10" s="3206" t="str">
        <f>结果表110!D124</f>
        <v>——</v>
      </c>
      <c r="E10" s="3206"/>
      <c r="F10" s="3206"/>
      <c r="G10" s="3206"/>
      <c r="H10" s="3206"/>
      <c r="I10" s="3206"/>
    </row>
    <row r="11" spans="1:9" ht="15">
      <c r="A11" s="3209" t="s">
        <v>112</v>
      </c>
      <c r="B11" s="3209"/>
      <c r="C11" s="3209"/>
      <c r="D11" s="3209" t="e">
        <f>结果表110!D125</f>
        <v>#VALUE!</v>
      </c>
      <c r="E11" s="3209"/>
      <c r="F11" s="3209"/>
      <c r="G11" s="3209"/>
      <c r="H11" s="3209"/>
      <c r="I11" s="3209"/>
    </row>
    <row r="12" spans="1:9" ht="15.6">
      <c r="A12" s="3206" t="str">
        <f>结果表110!A126</f>
        <v/>
      </c>
      <c r="B12" s="3206"/>
      <c r="C12" s="3206"/>
      <c r="D12" s="3206" t="str">
        <f>结果表110!D126</f>
        <v>——</v>
      </c>
      <c r="E12" s="3206"/>
      <c r="F12" s="3206"/>
      <c r="G12" s="3206"/>
      <c r="H12" s="3206"/>
      <c r="I12" s="3206"/>
    </row>
    <row r="13" spans="1:9" ht="15">
      <c r="A13" s="3207" t="s">
        <v>112</v>
      </c>
      <c r="B13" s="3207"/>
      <c r="C13" s="3207"/>
      <c r="D13" s="3207" t="e">
        <f>结果表110!D127</f>
        <v>#VALUE!</v>
      </c>
      <c r="E13" s="3207"/>
      <c r="F13" s="3207"/>
      <c r="G13" s="3207"/>
      <c r="H13" s="3207"/>
      <c r="I13" s="3207"/>
    </row>
    <row r="14" spans="1:9">
      <c r="A14" s="3208" t="s">
        <v>113</v>
      </c>
      <c r="B14" s="3208"/>
      <c r="C14" s="3208"/>
      <c r="D14" s="3208"/>
      <c r="E14" s="3208"/>
      <c r="F14" s="3208"/>
      <c r="G14" s="3208"/>
      <c r="H14" s="3208"/>
      <c r="I14" s="3208"/>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9" t="s">
        <v>2660</v>
      </c>
      <c r="C1" s="3529"/>
      <c r="D1" s="3529"/>
      <c r="E1" s="3529"/>
      <c r="F1" s="3529"/>
      <c r="G1" s="3520" t="s">
        <v>2661</v>
      </c>
      <c r="H1" s="3520"/>
      <c r="I1" s="3520"/>
      <c r="J1" s="3520"/>
      <c r="K1" s="3520"/>
      <c r="L1" s="3520"/>
      <c r="N1" s="3520" t="s">
        <v>2632</v>
      </c>
      <c r="O1" s="3520"/>
      <c r="P1" s="3520"/>
      <c r="Q1" s="3520"/>
      <c r="S1" s="3520" t="s">
        <v>2662</v>
      </c>
      <c r="T1" s="3520"/>
      <c r="U1" s="3520"/>
      <c r="V1" s="3520"/>
      <c r="X1" s="3519" t="s">
        <v>2633</v>
      </c>
      <c r="Y1" s="3520"/>
      <c r="Z1" s="3520"/>
      <c r="AA1" s="3520"/>
      <c r="AB1" s="3520"/>
      <c r="AD1" s="3519" t="s">
        <v>2634</v>
      </c>
      <c r="AE1" s="3520"/>
      <c r="AF1" s="3520"/>
      <c r="AG1" s="3520"/>
      <c r="AH1" s="3520"/>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2"/>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8">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2"/>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2"/>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2"/>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5"/>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6"/>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2">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2">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2">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2">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2">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2">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2">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2">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2">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2">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2">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2">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1">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2">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2">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3">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1">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2">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2">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0" t="s">
        <v>2751</v>
      </c>
      <c r="B1" s="3530"/>
      <c r="C1" s="3530"/>
      <c r="D1" s="3530"/>
      <c r="E1" s="3530"/>
      <c r="F1" s="3530"/>
      <c r="G1" s="3531"/>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2"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3"/>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1" t="s">
        <v>114</v>
      </c>
      <c r="B1" s="3221"/>
      <c r="C1" s="3221"/>
      <c r="D1" s="3221"/>
    </row>
    <row r="2" spans="1:4" ht="17.399999999999999">
      <c r="A2" s="3222" t="s">
        <v>115</v>
      </c>
      <c r="B2" s="3222"/>
      <c r="C2" s="3222"/>
      <c r="D2" s="3222"/>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2" t="s">
        <v>121</v>
      </c>
      <c r="B6" s="3222"/>
      <c r="C6" s="3222"/>
      <c r="D6" s="3222"/>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3" t="s">
        <v>126</v>
      </c>
      <c r="B11" s="3216"/>
      <c r="C11" s="3216"/>
      <c r="D11" s="3216"/>
    </row>
    <row r="12" spans="1:4" ht="15.6">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6" t="str">
        <f>IF(项目基本情况!B8="抵押","4.本次评估估价师所知悉的法定优先受偿款情况说明如下：","——")</f>
        <v>4.本次评估估价师所知悉的法定优先受偿款情况说明如下：</v>
      </c>
      <c r="B14" s="3219"/>
      <c r="C14" s="3219"/>
      <c r="D14" s="3219"/>
    </row>
    <row r="15" spans="1:4" ht="42" customHeight="1">
      <c r="A15" s="32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20" t="s">
        <v>127</v>
      </c>
      <c r="B16" s="3220"/>
      <c r="C16" s="3220"/>
      <c r="D16" s="3220"/>
    </row>
    <row r="17" spans="1:4" ht="144" customHeight="1">
      <c r="A17" s="3220" t="s">
        <v>128</v>
      </c>
      <c r="B17" s="3220"/>
      <c r="C17" s="3220"/>
      <c r="D17" s="3220"/>
    </row>
    <row r="18" spans="1:4" ht="15.75" customHeight="1">
      <c r="A18" s="3216" t="str">
        <f>IF(项目基本情况!B8="抵押",结果表110!K120,"——")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7"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6" t="s">
        <v>146</v>
      </c>
      <c r="B15" s="3231" t="s">
        <v>147</v>
      </c>
      <c r="C15" s="3225"/>
    </row>
    <row r="16" spans="1:7" ht="14.4">
      <c r="A16" s="3227"/>
      <c r="B16" s="3231" t="s">
        <v>148</v>
      </c>
      <c r="C16" s="3225"/>
    </row>
    <row r="17" spans="1:3" ht="14.4">
      <c r="A17" s="3227"/>
      <c r="B17" s="3230" t="s">
        <v>149</v>
      </c>
      <c r="C17" s="3102" t="s">
        <v>146</v>
      </c>
    </row>
    <row r="18" spans="1:3" ht="14.4">
      <c r="A18" s="3227"/>
      <c r="B18" s="3230"/>
      <c r="C18" s="3102" t="s">
        <v>150</v>
      </c>
    </row>
    <row r="19" spans="1:3" ht="14.4">
      <c r="A19" s="3227"/>
      <c r="B19" s="3230"/>
      <c r="C19" s="3102" t="s">
        <v>151</v>
      </c>
    </row>
    <row r="20" spans="1:3" ht="14.4">
      <c r="A20" s="3228"/>
      <c r="B20" s="3224" t="s">
        <v>152</v>
      </c>
      <c r="C20" s="3225"/>
    </row>
    <row r="21" spans="1:3" ht="14.4">
      <c r="A21" s="3103" t="s">
        <v>153</v>
      </c>
      <c r="B21" s="3104"/>
      <c r="C21" s="3105"/>
    </row>
    <row r="22" spans="1:3" ht="14.4">
      <c r="A22" s="3229" t="s">
        <v>154</v>
      </c>
      <c r="B22" s="3224" t="s">
        <v>155</v>
      </c>
      <c r="C22" s="3225"/>
    </row>
    <row r="23" spans="1:3" ht="14.4">
      <c r="A23" s="3229"/>
      <c r="B23" s="3224" t="s">
        <v>156</v>
      </c>
      <c r="C23" s="3225"/>
    </row>
    <row r="24" spans="1:3" ht="14.4">
      <c r="A24" s="3229"/>
      <c r="B24" s="3224" t="s">
        <v>157</v>
      </c>
      <c r="C24" s="3225"/>
    </row>
    <row r="25" spans="1:3" ht="14.4">
      <c r="A25" s="3229"/>
      <c r="B25" s="3230" t="s">
        <v>158</v>
      </c>
      <c r="C25" s="3102" t="s">
        <v>159</v>
      </c>
    </row>
    <row r="26" spans="1:3" ht="14.4">
      <c r="A26" s="3229"/>
      <c r="B26" s="3230"/>
      <c r="C26" s="3102" t="s">
        <v>160</v>
      </c>
    </row>
    <row r="27" spans="1:3" ht="14.4">
      <c r="A27" s="3229"/>
      <c r="B27" s="3230"/>
      <c r="C27" s="3102" t="s">
        <v>161</v>
      </c>
    </row>
    <row r="28" spans="1:3" ht="14.4">
      <c r="A28" s="3229"/>
      <c r="B28" s="3230"/>
      <c r="C28" s="3102" t="s">
        <v>162</v>
      </c>
    </row>
    <row r="29" spans="1:3" ht="14.4">
      <c r="A29" s="3229"/>
      <c r="B29" s="3230"/>
      <c r="C29" s="3102" t="s">
        <v>163</v>
      </c>
    </row>
    <row r="30" spans="1:3" ht="14.4">
      <c r="A30" s="3229"/>
      <c r="B30" s="3230"/>
      <c r="C30" s="3102" t="s">
        <v>164</v>
      </c>
    </row>
    <row r="31" spans="1:3" ht="14.4">
      <c r="A31" s="3229"/>
      <c r="B31" s="3230"/>
      <c r="C31" s="3102" t="s">
        <v>165</v>
      </c>
    </row>
    <row r="32" spans="1:3" ht="14.4">
      <c r="A32" s="3229"/>
      <c r="B32" s="3230"/>
      <c r="C32" s="3102" t="s">
        <v>166</v>
      </c>
    </row>
    <row r="33" spans="1:3" ht="14.4">
      <c r="A33" s="3229"/>
      <c r="B33" s="3230"/>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45849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2" t="s">
        <v>197</v>
      </c>
      <c r="B17" s="3232"/>
      <c r="C17" s="3232"/>
      <c r="D17" s="3232"/>
      <c r="E17" s="3232"/>
      <c r="F17" s="3232"/>
      <c r="G17" s="3232"/>
      <c r="H17" s="3232"/>
    </row>
    <row r="18" spans="1:8" ht="24" customHeight="1">
      <c r="A18" s="3233" t="s">
        <v>198</v>
      </c>
      <c r="B18" s="3233"/>
      <c r="C18" s="3233"/>
      <c r="D18" s="3071"/>
      <c r="E18" s="3234" t="s">
        <v>199</v>
      </c>
      <c r="F18" s="3233"/>
      <c r="G18" s="3233"/>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2025-07-11T05:53:33Z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